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3680" windowHeight="676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Лист1!$C$221</definedName>
    <definedName name="_xlnm.Print_Area" localSheetId="0">Лист1!$A$1:$V$235</definedName>
  </definedNames>
  <calcPr calcId="124519"/>
</workbook>
</file>

<file path=xl/calcChain.xml><?xml version="1.0" encoding="utf-8"?>
<calcChain xmlns="http://schemas.openxmlformats.org/spreadsheetml/2006/main">
  <c r="H69" i="1"/>
  <c r="K33"/>
  <c r="K120"/>
  <c r="S109"/>
  <c r="L109"/>
  <c r="J109"/>
  <c r="L228"/>
  <c r="L224"/>
  <c r="L223"/>
  <c r="J223"/>
  <c r="K214"/>
  <c r="N206"/>
  <c r="L206"/>
  <c r="L203"/>
  <c r="J194"/>
  <c r="S185"/>
  <c r="R185"/>
  <c r="Q185"/>
  <c r="P185"/>
  <c r="L185"/>
  <c r="J185"/>
  <c r="I185"/>
  <c r="H185"/>
  <c r="F185"/>
  <c r="K171"/>
  <c r="R177"/>
  <c r="R178"/>
  <c r="K164"/>
  <c r="K160"/>
  <c r="K159"/>
  <c r="L154"/>
  <c r="H166"/>
  <c r="H168" s="1"/>
  <c r="L141"/>
  <c r="L140"/>
  <c r="L138"/>
  <c r="K128"/>
  <c r="S89"/>
  <c r="R89"/>
  <c r="Q89"/>
  <c r="P89"/>
  <c r="L89"/>
  <c r="J89"/>
  <c r="I89"/>
  <c r="H89"/>
  <c r="F89"/>
  <c r="S121"/>
  <c r="R121"/>
  <c r="Q121"/>
  <c r="P121"/>
  <c r="L121"/>
  <c r="J121"/>
  <c r="I121"/>
  <c r="H121"/>
  <c r="F121"/>
  <c r="K119"/>
  <c r="J103"/>
  <c r="J102"/>
  <c r="K29"/>
  <c r="L77"/>
  <c r="K64"/>
  <c r="K31"/>
  <c r="J31"/>
  <c r="L34"/>
  <c r="F34"/>
  <c r="K30"/>
  <c r="J30"/>
  <c r="H46"/>
  <c r="L96"/>
  <c r="N178"/>
  <c r="N177"/>
  <c r="O230"/>
  <c r="N189"/>
  <c r="M189"/>
  <c r="M188"/>
  <c r="N188"/>
  <c r="M124"/>
  <c r="N124"/>
  <c r="M123"/>
  <c r="N123"/>
  <c r="M60"/>
  <c r="N60"/>
  <c r="M59"/>
  <c r="N59"/>
  <c r="L137" l="1"/>
  <c r="S178"/>
  <c r="M178"/>
  <c r="S177"/>
  <c r="M177"/>
  <c r="I177"/>
  <c r="H177"/>
  <c r="G177"/>
  <c r="F177"/>
  <c r="S231"/>
  <c r="R231"/>
  <c r="P231"/>
  <c r="N231"/>
  <c r="N233" s="1"/>
  <c r="M231"/>
  <c r="K231"/>
  <c r="S230"/>
  <c r="R230"/>
  <c r="Q230"/>
  <c r="P230"/>
  <c r="M230"/>
  <c r="L230"/>
  <c r="K230"/>
  <c r="J230"/>
  <c r="I230"/>
  <c r="H230"/>
  <c r="F230"/>
  <c r="S220"/>
  <c r="Q220"/>
  <c r="M220"/>
  <c r="L220"/>
  <c r="L202"/>
  <c r="M210"/>
  <c r="I210"/>
  <c r="H210"/>
  <c r="G210"/>
  <c r="F210"/>
  <c r="N205"/>
  <c r="M209"/>
  <c r="L205"/>
  <c r="I209"/>
  <c r="H209"/>
  <c r="G209"/>
  <c r="F209"/>
  <c r="L198"/>
  <c r="M198"/>
  <c r="K198"/>
  <c r="J193"/>
  <c r="J198" s="1"/>
  <c r="I198"/>
  <c r="H198"/>
  <c r="G198"/>
  <c r="M199"/>
  <c r="M212" s="1"/>
  <c r="K237"/>
  <c r="K236"/>
  <c r="M48"/>
  <c r="N48"/>
  <c r="M47"/>
  <c r="N47"/>
  <c r="N156"/>
  <c r="N155"/>
  <c r="N191"/>
  <c r="M190"/>
  <c r="N190"/>
  <c r="S184"/>
  <c r="S189" s="1"/>
  <c r="R184"/>
  <c r="R189" s="1"/>
  <c r="Q184"/>
  <c r="Q189" s="1"/>
  <c r="P184"/>
  <c r="P189" s="1"/>
  <c r="L184"/>
  <c r="L189" s="1"/>
  <c r="K184"/>
  <c r="K189" s="1"/>
  <c r="J184"/>
  <c r="J189" s="1"/>
  <c r="I184"/>
  <c r="I189" s="1"/>
  <c r="H184"/>
  <c r="H189" s="1"/>
  <c r="G184"/>
  <c r="G189" s="1"/>
  <c r="F184"/>
  <c r="F189" s="1"/>
  <c r="S188"/>
  <c r="R188"/>
  <c r="Q188"/>
  <c r="P188"/>
  <c r="L183"/>
  <c r="L188" s="1"/>
  <c r="K188"/>
  <c r="J188"/>
  <c r="I188"/>
  <c r="H188"/>
  <c r="G188"/>
  <c r="F188"/>
  <c r="M166"/>
  <c r="N166"/>
  <c r="N168" s="1"/>
  <c r="S164"/>
  <c r="R164"/>
  <c r="Q164"/>
  <c r="P164"/>
  <c r="H164"/>
  <c r="H167" s="1"/>
  <c r="G166"/>
  <c r="F164"/>
  <c r="N167"/>
  <c r="M167"/>
  <c r="S156"/>
  <c r="R156"/>
  <c r="M156"/>
  <c r="L156"/>
  <c r="K156"/>
  <c r="J156"/>
  <c r="S155"/>
  <c r="R155"/>
  <c r="M155"/>
  <c r="L155"/>
  <c r="K155"/>
  <c r="J155"/>
  <c r="N146"/>
  <c r="N148" s="1"/>
  <c r="M211" l="1"/>
  <c r="N210"/>
  <c r="N212" s="1"/>
  <c r="K209"/>
  <c r="K211" s="1"/>
  <c r="P209"/>
  <c r="R209"/>
  <c r="J210"/>
  <c r="L210"/>
  <c r="L212" s="1"/>
  <c r="Q210"/>
  <c r="S210"/>
  <c r="N230"/>
  <c r="N232" s="1"/>
  <c r="K177"/>
  <c r="Q177"/>
  <c r="K178"/>
  <c r="K191" s="1"/>
  <c r="Q178"/>
  <c r="Q191" s="1"/>
  <c r="N209"/>
  <c r="N211" s="1"/>
  <c r="J209"/>
  <c r="J211" s="1"/>
  <c r="L209"/>
  <c r="L211" s="1"/>
  <c r="Q209"/>
  <c r="S209"/>
  <c r="S211" s="1"/>
  <c r="K210"/>
  <c r="P210"/>
  <c r="R210"/>
  <c r="F190"/>
  <c r="J177"/>
  <c r="J190" s="1"/>
  <c r="L177"/>
  <c r="L190" s="1"/>
  <c r="P177"/>
  <c r="P190" s="1"/>
  <c r="J178"/>
  <c r="J191" s="1"/>
  <c r="L178"/>
  <c r="L191" s="1"/>
  <c r="P178"/>
  <c r="P191" s="1"/>
  <c r="G59"/>
  <c r="G60"/>
  <c r="I59"/>
  <c r="I60"/>
  <c r="F59"/>
  <c r="F60"/>
  <c r="H60"/>
  <c r="H59"/>
  <c r="L60"/>
  <c r="L62" s="1"/>
  <c r="L59"/>
  <c r="J231"/>
  <c r="L231"/>
  <c r="L233" s="1"/>
  <c r="Q231"/>
  <c r="Q233" s="1"/>
  <c r="Q199"/>
  <c r="S199"/>
  <c r="Q198"/>
  <c r="S198"/>
  <c r="K220"/>
  <c r="K233" s="1"/>
  <c r="M233"/>
  <c r="S233"/>
  <c r="J220"/>
  <c r="P220"/>
  <c r="P233" s="1"/>
  <c r="R220"/>
  <c r="R233" s="1"/>
  <c r="K199"/>
  <c r="R219"/>
  <c r="P219"/>
  <c r="L219"/>
  <c r="L232" s="1"/>
  <c r="J219"/>
  <c r="J232" s="1"/>
  <c r="S219"/>
  <c r="S232" s="1"/>
  <c r="Q219"/>
  <c r="Q232" s="1"/>
  <c r="M219"/>
  <c r="M232" s="1"/>
  <c r="K219"/>
  <c r="K232" s="1"/>
  <c r="R199"/>
  <c r="P199"/>
  <c r="J199"/>
  <c r="P198"/>
  <c r="R198"/>
  <c r="I145"/>
  <c r="P155"/>
  <c r="P156"/>
  <c r="K166"/>
  <c r="K168" s="1"/>
  <c r="P166"/>
  <c r="R166"/>
  <c r="R168" s="1"/>
  <c r="Q155"/>
  <c r="Q156"/>
  <c r="J166"/>
  <c r="J168" s="1"/>
  <c r="L166"/>
  <c r="L168" s="1"/>
  <c r="Q166"/>
  <c r="Q168" s="1"/>
  <c r="K167"/>
  <c r="K169" s="1"/>
  <c r="P167"/>
  <c r="R167"/>
  <c r="R169" s="1"/>
  <c r="N169"/>
  <c r="Q190"/>
  <c r="S190"/>
  <c r="R191"/>
  <c r="S167"/>
  <c r="S169" s="1"/>
  <c r="M169"/>
  <c r="M168"/>
  <c r="R190"/>
  <c r="K190"/>
  <c r="S191"/>
  <c r="M191"/>
  <c r="M145"/>
  <c r="M146"/>
  <c r="J167"/>
  <c r="J169" s="1"/>
  <c r="L167"/>
  <c r="L169" s="1"/>
  <c r="Q167"/>
  <c r="S166"/>
  <c r="S168" s="1"/>
  <c r="G167"/>
  <c r="N145"/>
  <c r="N147" s="1"/>
  <c r="S145"/>
  <c r="R145"/>
  <c r="R147" s="1"/>
  <c r="Q145"/>
  <c r="P145"/>
  <c r="L145"/>
  <c r="K145"/>
  <c r="J145"/>
  <c r="S146"/>
  <c r="R146"/>
  <c r="Q146"/>
  <c r="P146"/>
  <c r="L146"/>
  <c r="K146"/>
  <c r="J146"/>
  <c r="P147"/>
  <c r="M134"/>
  <c r="K134"/>
  <c r="J133"/>
  <c r="G124"/>
  <c r="F124"/>
  <c r="H123"/>
  <c r="G123"/>
  <c r="F123"/>
  <c r="R123"/>
  <c r="P123"/>
  <c r="L116"/>
  <c r="K123"/>
  <c r="S124"/>
  <c r="Q124"/>
  <c r="L117"/>
  <c r="L124" s="1"/>
  <c r="J124"/>
  <c r="L113"/>
  <c r="N113"/>
  <c r="R113"/>
  <c r="N112"/>
  <c r="S108"/>
  <c r="R112"/>
  <c r="L108"/>
  <c r="L112" s="1"/>
  <c r="J108"/>
  <c r="S113"/>
  <c r="Q113"/>
  <c r="P113"/>
  <c r="M113"/>
  <c r="M126" s="1"/>
  <c r="K113"/>
  <c r="J113"/>
  <c r="L99"/>
  <c r="S102"/>
  <c r="R102"/>
  <c r="N102"/>
  <c r="L94"/>
  <c r="J94"/>
  <c r="N103"/>
  <c r="M103"/>
  <c r="L95"/>
  <c r="L103" s="1"/>
  <c r="K103"/>
  <c r="N91"/>
  <c r="N90"/>
  <c r="S85"/>
  <c r="R85"/>
  <c r="Q85"/>
  <c r="P85"/>
  <c r="M85"/>
  <c r="M90" s="1"/>
  <c r="L85"/>
  <c r="L91" s="1"/>
  <c r="K85"/>
  <c r="K90" s="1"/>
  <c r="J85"/>
  <c r="I85"/>
  <c r="H85"/>
  <c r="G85"/>
  <c r="F85"/>
  <c r="M81"/>
  <c r="N81"/>
  <c r="M80"/>
  <c r="N80"/>
  <c r="L76"/>
  <c r="L80" s="1"/>
  <c r="S80"/>
  <c r="F80"/>
  <c r="M62"/>
  <c r="N62"/>
  <c r="Q80"/>
  <c r="J80"/>
  <c r="N70"/>
  <c r="N69"/>
  <c r="M61"/>
  <c r="N61"/>
  <c r="K148" l="1"/>
  <c r="Q211"/>
  <c r="M148"/>
  <c r="R211"/>
  <c r="Q169"/>
  <c r="P211"/>
  <c r="R212"/>
  <c r="Q212"/>
  <c r="P169"/>
  <c r="P168"/>
  <c r="J233"/>
  <c r="R232"/>
  <c r="S212"/>
  <c r="K212"/>
  <c r="J212"/>
  <c r="K59"/>
  <c r="K60"/>
  <c r="R59"/>
  <c r="R60"/>
  <c r="P59"/>
  <c r="P60"/>
  <c r="J60"/>
  <c r="J59"/>
  <c r="Q60"/>
  <c r="Q59"/>
  <c r="S60"/>
  <c r="S59"/>
  <c r="K81"/>
  <c r="P81"/>
  <c r="R81"/>
  <c r="K124"/>
  <c r="K126" s="1"/>
  <c r="P124"/>
  <c r="P126" s="1"/>
  <c r="R124"/>
  <c r="R126" s="1"/>
  <c r="J123"/>
  <c r="L123"/>
  <c r="Q123"/>
  <c r="S123"/>
  <c r="H124"/>
  <c r="P212"/>
  <c r="P232"/>
  <c r="J147"/>
  <c r="L147"/>
  <c r="K80"/>
  <c r="P80"/>
  <c r="R80"/>
  <c r="L81"/>
  <c r="Q148"/>
  <c r="S148"/>
  <c r="H81"/>
  <c r="J91"/>
  <c r="J105" s="1"/>
  <c r="P91"/>
  <c r="R91"/>
  <c r="P103"/>
  <c r="R103"/>
  <c r="L102"/>
  <c r="Q102"/>
  <c r="L125"/>
  <c r="J126"/>
  <c r="L126"/>
  <c r="Q126"/>
  <c r="S126"/>
  <c r="R125"/>
  <c r="R148"/>
  <c r="P148"/>
  <c r="L148"/>
  <c r="J134"/>
  <c r="J148" s="1"/>
  <c r="S147"/>
  <c r="Q147"/>
  <c r="M133"/>
  <c r="M147" s="1"/>
  <c r="K133"/>
  <c r="K147" s="1"/>
  <c r="N104"/>
  <c r="K70"/>
  <c r="M70"/>
  <c r="M83" s="1"/>
  <c r="Q70"/>
  <c r="S70"/>
  <c r="J81"/>
  <c r="Q81"/>
  <c r="S81"/>
  <c r="G81"/>
  <c r="I81"/>
  <c r="Q90"/>
  <c r="S90"/>
  <c r="S104" s="1"/>
  <c r="N105"/>
  <c r="Q103"/>
  <c r="Q105" s="1"/>
  <c r="S103"/>
  <c r="K102"/>
  <c r="K104" s="1"/>
  <c r="M102"/>
  <c r="M104" s="1"/>
  <c r="P102"/>
  <c r="L105"/>
  <c r="G80"/>
  <c r="H80"/>
  <c r="I80"/>
  <c r="R90"/>
  <c r="R104" s="1"/>
  <c r="P90"/>
  <c r="L90"/>
  <c r="J90"/>
  <c r="J104" s="1"/>
  <c r="Q91"/>
  <c r="Q104" s="1"/>
  <c r="M91"/>
  <c r="M105" s="1"/>
  <c r="K91"/>
  <c r="K105" s="1"/>
  <c r="S91"/>
  <c r="P112"/>
  <c r="P125" s="1"/>
  <c r="J112"/>
  <c r="F81"/>
  <c r="N82"/>
  <c r="N83"/>
  <c r="S112"/>
  <c r="Q112"/>
  <c r="M112"/>
  <c r="M125" s="1"/>
  <c r="K112"/>
  <c r="K125" s="1"/>
  <c r="J70"/>
  <c r="L70"/>
  <c r="L83" s="1"/>
  <c r="P70"/>
  <c r="R70"/>
  <c r="R69"/>
  <c r="P69"/>
  <c r="L69"/>
  <c r="L82" s="1"/>
  <c r="J69"/>
  <c r="J82" s="1"/>
  <c r="S69"/>
  <c r="S82" s="1"/>
  <c r="Q69"/>
  <c r="Q82" s="1"/>
  <c r="M69"/>
  <c r="M82" s="1"/>
  <c r="K69"/>
  <c r="J48"/>
  <c r="J62" s="1"/>
  <c r="K48"/>
  <c r="P48"/>
  <c r="P62" s="1"/>
  <c r="Q48"/>
  <c r="Q62" s="1"/>
  <c r="R48"/>
  <c r="S48"/>
  <c r="J47"/>
  <c r="K47"/>
  <c r="P47"/>
  <c r="Q47"/>
  <c r="R47"/>
  <c r="S47"/>
  <c r="K32"/>
  <c r="N38"/>
  <c r="N40" s="1"/>
  <c r="M38"/>
  <c r="L38"/>
  <c r="S37"/>
  <c r="R37"/>
  <c r="Q37"/>
  <c r="P37"/>
  <c r="N37"/>
  <c r="N39" s="1"/>
  <c r="M37"/>
  <c r="L37"/>
  <c r="K37"/>
  <c r="J37"/>
  <c r="F37"/>
  <c r="K19"/>
  <c r="M25"/>
  <c r="K23"/>
  <c r="K25" s="1"/>
  <c r="G231"/>
  <c r="H231"/>
  <c r="I231"/>
  <c r="F231"/>
  <c r="H232"/>
  <c r="I232"/>
  <c r="F232"/>
  <c r="G212"/>
  <c r="H212"/>
  <c r="I212"/>
  <c r="G211"/>
  <c r="H211"/>
  <c r="I211"/>
  <c r="F211"/>
  <c r="G191"/>
  <c r="H191"/>
  <c r="I191"/>
  <c r="F191"/>
  <c r="G190"/>
  <c r="H190"/>
  <c r="I190"/>
  <c r="F166"/>
  <c r="F167"/>
  <c r="G156"/>
  <c r="G169" s="1"/>
  <c r="H156"/>
  <c r="H169" s="1"/>
  <c r="I156"/>
  <c r="I169" s="1"/>
  <c r="F156"/>
  <c r="G155"/>
  <c r="H155"/>
  <c r="I155"/>
  <c r="F155"/>
  <c r="G145"/>
  <c r="G147" s="1"/>
  <c r="H145"/>
  <c r="F145"/>
  <c r="G146"/>
  <c r="G148" s="1"/>
  <c r="H146"/>
  <c r="H148" s="1"/>
  <c r="I146"/>
  <c r="I148" s="1"/>
  <c r="F146"/>
  <c r="F148" s="1"/>
  <c r="I147"/>
  <c r="F147"/>
  <c r="G113"/>
  <c r="H113"/>
  <c r="I113"/>
  <c r="F113"/>
  <c r="G112"/>
  <c r="H112"/>
  <c r="I112"/>
  <c r="F112"/>
  <c r="G103"/>
  <c r="H103"/>
  <c r="I103"/>
  <c r="F103"/>
  <c r="G102"/>
  <c r="H102"/>
  <c r="I102"/>
  <c r="F102"/>
  <c r="G91"/>
  <c r="H91"/>
  <c r="I91"/>
  <c r="F91"/>
  <c r="G90"/>
  <c r="H90"/>
  <c r="I90"/>
  <c r="F90"/>
  <c r="H70"/>
  <c r="G48"/>
  <c r="G62" s="1"/>
  <c r="H48"/>
  <c r="H62" s="1"/>
  <c r="I48"/>
  <c r="F48"/>
  <c r="F62" s="1"/>
  <c r="G47"/>
  <c r="H47"/>
  <c r="I47"/>
  <c r="F47"/>
  <c r="I37"/>
  <c r="P105" l="1"/>
  <c r="L104"/>
  <c r="K61"/>
  <c r="R105"/>
  <c r="K62"/>
  <c r="S105"/>
  <c r="R83"/>
  <c r="R62"/>
  <c r="R82"/>
  <c r="J125"/>
  <c r="S61"/>
  <c r="P83"/>
  <c r="S62"/>
  <c r="K83"/>
  <c r="K82"/>
  <c r="I233"/>
  <c r="F233"/>
  <c r="F168"/>
  <c r="Q125"/>
  <c r="G233"/>
  <c r="F212"/>
  <c r="P82"/>
  <c r="J83"/>
  <c r="S125"/>
  <c r="S83"/>
  <c r="H147"/>
  <c r="I168"/>
  <c r="G168"/>
  <c r="Q38"/>
  <c r="K38"/>
  <c r="K40" s="1"/>
  <c r="P104"/>
  <c r="Q83"/>
  <c r="P38"/>
  <c r="R38"/>
  <c r="F169"/>
  <c r="J38"/>
  <c r="K24"/>
  <c r="K39" s="1"/>
  <c r="Q39"/>
  <c r="S39"/>
  <c r="P61"/>
  <c r="J61"/>
  <c r="Q61"/>
  <c r="R61"/>
  <c r="I82"/>
  <c r="G82"/>
  <c r="G61"/>
  <c r="F61"/>
  <c r="G83"/>
  <c r="S38"/>
  <c r="F82"/>
  <c r="H82"/>
  <c r="Q40"/>
  <c r="J24"/>
  <c r="J39" s="1"/>
  <c r="P39"/>
  <c r="R39"/>
  <c r="J25"/>
  <c r="J40" s="1"/>
  <c r="P40"/>
  <c r="M24"/>
  <c r="M39" s="1"/>
  <c r="M40"/>
  <c r="L40"/>
  <c r="H83"/>
  <c r="I104"/>
  <c r="I105"/>
  <c r="I83"/>
  <c r="F104"/>
  <c r="H104"/>
  <c r="F105"/>
  <c r="H105"/>
  <c r="F125"/>
  <c r="H125"/>
  <c r="F126"/>
  <c r="H126"/>
  <c r="F40"/>
  <c r="H40"/>
  <c r="F83"/>
  <c r="G104"/>
  <c r="G105"/>
  <c r="I125"/>
  <c r="G125"/>
  <c r="I126"/>
  <c r="G126"/>
  <c r="H233"/>
  <c r="G39"/>
  <c r="L39"/>
  <c r="H39"/>
  <c r="F39"/>
  <c r="I39"/>
  <c r="G40"/>
  <c r="I61"/>
  <c r="I62"/>
  <c r="H61"/>
  <c r="I40"/>
  <c r="S40" l="1"/>
  <c r="R40"/>
</calcChain>
</file>

<file path=xl/sharedStrings.xml><?xml version="1.0" encoding="utf-8"?>
<sst xmlns="http://schemas.openxmlformats.org/spreadsheetml/2006/main" count="378" uniqueCount="144">
  <si>
    <t>Наименование блюда</t>
  </si>
  <si>
    <t>Выход блюд</t>
  </si>
  <si>
    <t>Б</t>
  </si>
  <si>
    <t>Ж</t>
  </si>
  <si>
    <t>У</t>
  </si>
  <si>
    <t xml:space="preserve">День 1 </t>
  </si>
  <si>
    <t>Завтрак</t>
  </si>
  <si>
    <t>Каша пшеничная (вяз) с маслом</t>
  </si>
  <si>
    <t>Чай с сахаром</t>
  </si>
  <si>
    <t>Обед</t>
  </si>
  <si>
    <t>Птица отварная</t>
  </si>
  <si>
    <t>Хлеб ржаной</t>
  </si>
  <si>
    <t xml:space="preserve">День 2 </t>
  </si>
  <si>
    <t xml:space="preserve">Завтрак </t>
  </si>
  <si>
    <t>Каша манная с маслом</t>
  </si>
  <si>
    <t>Яйца вареные</t>
  </si>
  <si>
    <t>Борщ из св.капусты, с картофелем, с/м</t>
  </si>
  <si>
    <t>Рыба отварная</t>
  </si>
  <si>
    <t>Рис отварной с маслом</t>
  </si>
  <si>
    <t>Какао с молоком</t>
  </si>
  <si>
    <t>День 3</t>
  </si>
  <si>
    <t>Бутерброд с сыром</t>
  </si>
  <si>
    <t>Компот из с/фруктов</t>
  </si>
  <si>
    <t xml:space="preserve">Обед </t>
  </si>
  <si>
    <t xml:space="preserve">День 4 </t>
  </si>
  <si>
    <t xml:space="preserve">Завтрак  </t>
  </si>
  <si>
    <t>Бутерброд с маслом сыром</t>
  </si>
  <si>
    <t>Каша пшенная (вяз) с маслом</t>
  </si>
  <si>
    <t>Макароны отварные с маслом</t>
  </si>
  <si>
    <t>Кофейный напиток</t>
  </si>
  <si>
    <t xml:space="preserve">День 5 </t>
  </si>
  <si>
    <t>Бутерброд с маслом</t>
  </si>
  <si>
    <t>Суп молочный с крупой</t>
  </si>
  <si>
    <t xml:space="preserve">День 6 </t>
  </si>
  <si>
    <t>Молоко кипяченное</t>
  </si>
  <si>
    <t xml:space="preserve">День 7 </t>
  </si>
  <si>
    <t>Запеканка из творога</t>
  </si>
  <si>
    <t xml:space="preserve">День 8 </t>
  </si>
  <si>
    <t>Жаркое по-домашнему</t>
  </si>
  <si>
    <t xml:space="preserve">День 9 </t>
  </si>
  <si>
    <t>Каша овсяная (вяз) с маслом</t>
  </si>
  <si>
    <t xml:space="preserve">День 10 </t>
  </si>
  <si>
    <t>«УТВЕРЖДАЮ»</t>
  </si>
  <si>
    <t xml:space="preserve">Директор </t>
  </si>
  <si>
    <t xml:space="preserve"> общеобразовательная школа»</t>
  </si>
  <si>
    <t>__________________Л.В.Ефимова</t>
  </si>
  <si>
    <t>итого</t>
  </si>
  <si>
    <t>7-11</t>
  </si>
  <si>
    <t>11 и старше</t>
  </si>
  <si>
    <t>возрастная категория</t>
  </si>
  <si>
    <t>7-11 лет</t>
  </si>
  <si>
    <t>11-18 лет</t>
  </si>
  <si>
    <t xml:space="preserve">                                       11 и старше</t>
  </si>
  <si>
    <t>№ рецепта</t>
  </si>
  <si>
    <t>7-11,     11-18 лет</t>
  </si>
  <si>
    <t xml:space="preserve">                                       7-11 лет</t>
  </si>
  <si>
    <t>ЭЦ        Ккал</t>
  </si>
  <si>
    <t>витамины</t>
  </si>
  <si>
    <t>минеральные вещества</t>
  </si>
  <si>
    <t>В1</t>
  </si>
  <si>
    <t>В2</t>
  </si>
  <si>
    <t>С</t>
  </si>
  <si>
    <t>А</t>
  </si>
  <si>
    <t>Е</t>
  </si>
  <si>
    <t>Са</t>
  </si>
  <si>
    <t>Р</t>
  </si>
  <si>
    <t>Mg</t>
  </si>
  <si>
    <t>Fe</t>
  </si>
  <si>
    <t>7-11,         11-18 лет</t>
  </si>
  <si>
    <t xml:space="preserve">Рагу овощное </t>
  </si>
  <si>
    <t>Фрукты (яблоко)</t>
  </si>
  <si>
    <t>Фрукты, груша</t>
  </si>
  <si>
    <t>7-11           11-18 лет</t>
  </si>
  <si>
    <t>7-11         11-18</t>
  </si>
  <si>
    <t>Каша гречневая (рассып) с маслом</t>
  </si>
  <si>
    <t>7-11      11-18</t>
  </si>
  <si>
    <t>11-18</t>
  </si>
  <si>
    <t>7-11                                     11-18</t>
  </si>
  <si>
    <t>7-11        11-18</t>
  </si>
  <si>
    <t>зеленый горошек консервир после термообработки</t>
  </si>
  <si>
    <t>Картофель отварной с маслом</t>
  </si>
  <si>
    <t>Кукуруза консер после термообр</t>
  </si>
  <si>
    <t>Фрукты, яблоко</t>
  </si>
  <si>
    <t>обед</t>
  </si>
  <si>
    <t xml:space="preserve">Гуляш из говяд </t>
  </si>
  <si>
    <t>Соки натур, ябл</t>
  </si>
  <si>
    <t>Какао с мол</t>
  </si>
  <si>
    <t>470-587</t>
  </si>
  <si>
    <t>705-822</t>
  </si>
  <si>
    <t>542-678</t>
  </si>
  <si>
    <t>814-949</t>
  </si>
  <si>
    <t>1356-1627</t>
  </si>
  <si>
    <t>1175-1409</t>
  </si>
  <si>
    <t xml:space="preserve">7-11       11-18    </t>
  </si>
  <si>
    <t>каша ячневая вязкая</t>
  </si>
  <si>
    <t xml:space="preserve"> </t>
  </si>
  <si>
    <t>кондитерские издел</t>
  </si>
  <si>
    <t>7-11     11-18</t>
  </si>
  <si>
    <t>Перспективное меню</t>
  </si>
  <si>
    <t>7-11          11-18</t>
  </si>
  <si>
    <t xml:space="preserve">7-11                  </t>
  </si>
  <si>
    <t>7-11  11-18</t>
  </si>
  <si>
    <t>7--11</t>
  </si>
  <si>
    <t>зеленый горох консерв.после термообаботки</t>
  </si>
  <si>
    <t>7-11,             11-18</t>
  </si>
  <si>
    <t>кукуруза консер после термообр</t>
  </si>
  <si>
    <t>Котлеты паровые</t>
  </si>
  <si>
    <t>Чай с лимоном</t>
  </si>
  <si>
    <t xml:space="preserve"> МОУ «Шиньшиинская  средняя</t>
  </si>
  <si>
    <t>Л.Л.</t>
  </si>
  <si>
    <t>Артемьева</t>
  </si>
  <si>
    <t xml:space="preserve">МОУ«Шиньшинская  средняя общеобразовательная школа» </t>
  </si>
  <si>
    <t>Кладовщик</t>
  </si>
  <si>
    <t>Ильина Н.И.</t>
  </si>
  <si>
    <t>«___»______________20___ г.</t>
  </si>
  <si>
    <t>Тефтели отварные</t>
  </si>
  <si>
    <t>Компот из свежих яблок</t>
  </si>
  <si>
    <t>Батон нарезной</t>
  </si>
  <si>
    <t>Бутерброд с  сыром</t>
  </si>
  <si>
    <t>Суп картоф с макар изд. с мясом куры</t>
  </si>
  <si>
    <t>Борщ из св.капусты, с картофелем, с/м куры</t>
  </si>
  <si>
    <t>Рассольник ленинградский с мясом куры</t>
  </si>
  <si>
    <t>7,39</t>
  </si>
  <si>
    <t>9,14</t>
  </si>
  <si>
    <t>0,,4</t>
  </si>
  <si>
    <t>Щи из свежей капусты с мясом куры</t>
  </si>
  <si>
    <t>Суп картофельный с бобовыми с мясом куры</t>
  </si>
  <si>
    <t>Суп картофельный с крупой с мясом куры</t>
  </si>
  <si>
    <t>Суп молочный с макар издел</t>
  </si>
  <si>
    <t>Суп крестьянский с крупой и мясом куры</t>
  </si>
  <si>
    <t>Плов из птицы</t>
  </si>
  <si>
    <t xml:space="preserve"> 11-18</t>
  </si>
  <si>
    <t>70.</t>
  </si>
  <si>
    <t>60/10</t>
  </si>
  <si>
    <t xml:space="preserve">    11-18</t>
  </si>
  <si>
    <t>40.</t>
  </si>
  <si>
    <t>540.</t>
  </si>
  <si>
    <t>590.</t>
  </si>
  <si>
    <t>возрастная категория:   ( 7-11 лет)   и  (11лет и старше)</t>
  </si>
  <si>
    <t>20.62</t>
  </si>
  <si>
    <t>школьной столовой на 10 дней, сезон: зима-весна</t>
  </si>
  <si>
    <t>огурцы свежие</t>
  </si>
  <si>
    <t>томаты свежие</t>
  </si>
  <si>
    <t>Огурцы свежие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</si>
</sst>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0" xfId="0" applyFont="1"/>
    <xf numFmtId="0" fontId="0" fillId="0" borderId="0" xfId="0"/>
    <xf numFmtId="0" fontId="1" fillId="2" borderId="5" xfId="0" applyFont="1" applyFill="1" applyBorder="1" applyAlignment="1">
      <alignment vertical="top" wrapText="1"/>
    </xf>
    <xf numFmtId="2" fontId="1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1" fillId="0" borderId="0" xfId="0" applyNumberFormat="1" applyFont="1" applyBorder="1" applyAlignment="1">
      <alignment vertical="top" wrapText="1"/>
    </xf>
    <xf numFmtId="164" fontId="1" fillId="2" borderId="13" xfId="0" applyNumberFormat="1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1" fillId="2" borderId="13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2" fontId="1" fillId="0" borderId="13" xfId="0" applyNumberFormat="1" applyFont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164" fontId="1" fillId="0" borderId="13" xfId="0" applyNumberFormat="1" applyFont="1" applyBorder="1" applyAlignment="1">
      <alignment vertical="top" wrapText="1"/>
    </xf>
    <xf numFmtId="2" fontId="1" fillId="0" borderId="0" xfId="0" applyNumberFormat="1" applyFont="1" applyBorder="1" applyAlignment="1">
      <alignment vertical="top" wrapText="1"/>
    </xf>
    <xf numFmtId="0" fontId="0" fillId="2" borderId="13" xfId="0" applyFill="1" applyBorder="1"/>
    <xf numFmtId="0" fontId="0" fillId="0" borderId="13" xfId="0" applyBorder="1"/>
    <xf numFmtId="0" fontId="1" fillId="0" borderId="4" xfId="0" applyFont="1" applyBorder="1" applyAlignment="1">
      <alignment vertical="top" wrapText="1"/>
    </xf>
    <xf numFmtId="0" fontId="0" fillId="0" borderId="4" xfId="0" applyBorder="1"/>
    <xf numFmtId="0" fontId="1" fillId="2" borderId="8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49" fontId="1" fillId="2" borderId="0" xfId="0" applyNumberFormat="1" applyFont="1" applyFill="1" applyBorder="1" applyAlignment="1">
      <alignment vertical="top" wrapText="1"/>
    </xf>
    <xf numFmtId="0" fontId="0" fillId="0" borderId="13" xfId="0" applyBorder="1" applyAlignment="1"/>
    <xf numFmtId="164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0" xfId="0"/>
    <xf numFmtId="0" fontId="5" fillId="0" borderId="20" xfId="0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164" fontId="5" fillId="0" borderId="24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top" wrapText="1"/>
    </xf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13" xfId="0" applyBorder="1" applyAlignment="1">
      <alignment vertical="center"/>
    </xf>
    <xf numFmtId="1" fontId="1" fillId="0" borderId="6" xfId="0" applyNumberFormat="1" applyFont="1" applyBorder="1" applyAlignment="1">
      <alignment vertical="top" wrapText="1"/>
    </xf>
    <xf numFmtId="49" fontId="1" fillId="2" borderId="0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vertical="top" wrapText="1"/>
    </xf>
    <xf numFmtId="49" fontId="1" fillId="4" borderId="4" xfId="0" applyNumberFormat="1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1" fillId="2" borderId="1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vertical="top" wrapText="1"/>
    </xf>
    <xf numFmtId="165" fontId="5" fillId="0" borderId="13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0" xfId="0"/>
    <xf numFmtId="0" fontId="1" fillId="0" borderId="28" xfId="0" applyFont="1" applyBorder="1" applyAlignment="1">
      <alignment vertical="top" wrapText="1"/>
    </xf>
    <xf numFmtId="164" fontId="1" fillId="0" borderId="22" xfId="0" applyNumberFormat="1" applyFont="1" applyBorder="1" applyAlignment="1">
      <alignment vertical="top" wrapText="1"/>
    </xf>
    <xf numFmtId="164" fontId="1" fillId="2" borderId="22" xfId="0" applyNumberFormat="1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21" xfId="0" applyBorder="1"/>
    <xf numFmtId="0" fontId="5" fillId="0" borderId="27" xfId="0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vertical="top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21" fontId="5" fillId="0" borderId="31" xfId="0" applyNumberFormat="1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0" xfId="0"/>
    <xf numFmtId="0" fontId="1" fillId="0" borderId="13" xfId="0" applyFont="1" applyBorder="1" applyAlignment="1">
      <alignment vertical="top" wrapText="1"/>
    </xf>
    <xf numFmtId="2" fontId="8" fillId="0" borderId="6" xfId="0" applyNumberFormat="1" applyFont="1" applyBorder="1" applyAlignment="1">
      <alignment vertical="top" wrapText="1"/>
    </xf>
    <xf numFmtId="164" fontId="1" fillId="4" borderId="4" xfId="0" applyNumberFormat="1" applyFont="1" applyFill="1" applyBorder="1" applyAlignment="1">
      <alignment vertical="top" wrapText="1"/>
    </xf>
    <xf numFmtId="164" fontId="0" fillId="0" borderId="13" xfId="0" applyNumberFormat="1" applyBorder="1"/>
    <xf numFmtId="164" fontId="0" fillId="2" borderId="13" xfId="0" applyNumberFormat="1" applyFill="1" applyBorder="1"/>
    <xf numFmtId="0" fontId="1" fillId="0" borderId="0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164" fontId="1" fillId="4" borderId="6" xfId="0" applyNumberFormat="1" applyFont="1" applyFill="1" applyBorder="1" applyAlignment="1">
      <alignment vertical="top" wrapText="1"/>
    </xf>
    <xf numFmtId="164" fontId="1" fillId="4" borderId="13" xfId="0" applyNumberFormat="1" applyFont="1" applyFill="1" applyBorder="1" applyAlignment="1">
      <alignment vertical="top" wrapText="1"/>
    </xf>
    <xf numFmtId="164" fontId="1" fillId="4" borderId="8" xfId="0" applyNumberFormat="1" applyFont="1" applyFill="1" applyBorder="1" applyAlignment="1">
      <alignment vertical="top" wrapText="1"/>
    </xf>
    <xf numFmtId="164" fontId="1" fillId="4" borderId="0" xfId="0" applyNumberFormat="1" applyFont="1" applyFill="1" applyBorder="1" applyAlignment="1">
      <alignment vertical="top" wrapText="1"/>
    </xf>
    <xf numFmtId="164" fontId="1" fillId="4" borderId="20" xfId="0" applyNumberFormat="1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4" borderId="21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vertical="top" wrapText="1"/>
    </xf>
    <xf numFmtId="164" fontId="8" fillId="2" borderId="22" xfId="0" applyNumberFormat="1" applyFont="1" applyFill="1" applyBorder="1" applyAlignment="1">
      <alignment vertical="top" wrapText="1"/>
    </xf>
    <xf numFmtId="49" fontId="1" fillId="0" borderId="13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7" fillId="0" borderId="21" xfId="0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 wrapText="1"/>
    </xf>
    <xf numFmtId="21" fontId="5" fillId="0" borderId="0" xfId="0" applyNumberFormat="1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" fontId="1" fillId="0" borderId="4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1" fillId="0" borderId="1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8"/>
  <sheetViews>
    <sheetView tabSelected="1" view="pageBreakPreview" topLeftCell="A211" zoomScale="77" zoomScaleNormal="60" zoomScaleSheetLayoutView="77" zoomScalePageLayoutView="60" workbookViewId="0">
      <selection activeCell="E231" sqref="E231"/>
    </sheetView>
  </sheetViews>
  <sheetFormatPr defaultRowHeight="15"/>
  <cols>
    <col min="1" max="1" width="7.28515625" style="9" customWidth="1"/>
    <col min="2" max="2" width="9.140625" customWidth="1"/>
    <col min="3" max="3" width="28.85546875" customWidth="1"/>
    <col min="4" max="4" width="9.42578125" style="9" customWidth="1"/>
    <col min="5" max="5" width="11" customWidth="1"/>
    <col min="6" max="6" width="7.5703125" customWidth="1"/>
    <col min="7" max="7" width="9.42578125" customWidth="1"/>
    <col min="8" max="8" width="10" customWidth="1"/>
    <col min="9" max="9" width="8.28515625" customWidth="1"/>
    <col min="10" max="10" width="7.28515625" style="9" customWidth="1"/>
    <col min="11" max="11" width="8" style="9" customWidth="1"/>
    <col min="12" max="12" width="7.5703125" style="9" customWidth="1"/>
    <col min="13" max="13" width="7.28515625" style="9" customWidth="1"/>
    <col min="14" max="14" width="5.5703125" style="9" customWidth="1"/>
    <col min="15" max="15" width="3.7109375" style="9" customWidth="1"/>
    <col min="16" max="16" width="8.42578125" style="9" customWidth="1"/>
    <col min="17" max="17" width="7" style="9" customWidth="1"/>
    <col min="18" max="18" width="9.5703125" style="9" customWidth="1"/>
    <col min="19" max="19" width="9.42578125" customWidth="1"/>
  </cols>
  <sheetData>
    <row r="1" spans="1:19" ht="15.75">
      <c r="B1" s="8"/>
      <c r="G1" s="9"/>
      <c r="H1" s="9"/>
      <c r="I1" s="9"/>
      <c r="J1" s="8"/>
      <c r="K1" s="111"/>
      <c r="L1" s="111"/>
      <c r="M1" s="111"/>
      <c r="N1" s="111"/>
      <c r="O1" s="8" t="s">
        <v>42</v>
      </c>
      <c r="P1" s="111"/>
      <c r="Q1" s="111"/>
      <c r="R1" s="111"/>
      <c r="S1" s="111"/>
    </row>
    <row r="2" spans="1:19" ht="15.75">
      <c r="B2" s="8"/>
      <c r="G2" s="9"/>
      <c r="H2" s="9"/>
      <c r="I2" s="9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8.75">
      <c r="B3" s="8"/>
      <c r="G3" s="9"/>
      <c r="H3" s="9"/>
      <c r="I3" s="9"/>
      <c r="J3" s="8"/>
      <c r="K3" s="111"/>
      <c r="L3" s="111"/>
      <c r="M3" s="111"/>
      <c r="N3" s="111"/>
      <c r="O3" s="152" t="s">
        <v>43</v>
      </c>
      <c r="P3" s="153"/>
      <c r="Q3" s="153"/>
      <c r="R3" s="153"/>
      <c r="S3" s="153"/>
    </row>
    <row r="4" spans="1:19" ht="18.75">
      <c r="B4" s="8"/>
      <c r="G4" s="9"/>
      <c r="H4" s="9"/>
      <c r="I4" s="9"/>
      <c r="J4" s="8"/>
      <c r="K4" s="111"/>
      <c r="L4" s="111"/>
      <c r="M4" s="111"/>
      <c r="N4" s="111"/>
      <c r="O4" s="152" t="s">
        <v>108</v>
      </c>
      <c r="P4" s="153"/>
      <c r="Q4" s="153"/>
      <c r="R4" s="153"/>
      <c r="S4" s="153"/>
    </row>
    <row r="5" spans="1:19" ht="18.75">
      <c r="B5" s="8"/>
      <c r="G5" s="9"/>
      <c r="H5" s="9"/>
      <c r="I5" s="9"/>
      <c r="J5" s="8"/>
      <c r="K5" s="111"/>
      <c r="L5" s="111"/>
      <c r="M5" s="111"/>
      <c r="N5" s="111"/>
      <c r="O5" s="152" t="s">
        <v>44</v>
      </c>
      <c r="P5" s="153"/>
      <c r="Q5" s="153"/>
      <c r="R5" s="153"/>
      <c r="S5" s="153"/>
    </row>
    <row r="6" spans="1:19" ht="18.75">
      <c r="B6" s="8"/>
      <c r="G6" s="9"/>
      <c r="H6" s="9"/>
      <c r="I6" s="9"/>
      <c r="J6" s="8"/>
      <c r="K6" s="111"/>
      <c r="L6" s="111"/>
      <c r="M6" s="111"/>
      <c r="N6" s="111"/>
      <c r="O6" s="152" t="s">
        <v>45</v>
      </c>
      <c r="P6" s="153"/>
      <c r="Q6" s="153" t="s">
        <v>109</v>
      </c>
      <c r="R6" s="153" t="s">
        <v>110</v>
      </c>
      <c r="S6" s="153"/>
    </row>
    <row r="7" spans="1:19" ht="19.5" customHeight="1">
      <c r="B7" s="8"/>
      <c r="G7" s="9"/>
      <c r="H7" s="9"/>
      <c r="I7" s="9"/>
      <c r="J7" s="8"/>
      <c r="K7" s="111"/>
      <c r="L7" s="111"/>
      <c r="M7" s="111"/>
      <c r="N7" s="111"/>
      <c r="O7" s="152" t="s">
        <v>114</v>
      </c>
      <c r="P7" s="153"/>
      <c r="Q7" s="153"/>
      <c r="R7" s="153"/>
      <c r="S7" s="153"/>
    </row>
    <row r="8" spans="1:19" ht="3.75" customHeight="1">
      <c r="G8" s="8"/>
    </row>
    <row r="9" spans="1:19" ht="15.75" hidden="1">
      <c r="B9" s="8"/>
    </row>
    <row r="10" spans="1:19" ht="14.25" customHeight="1">
      <c r="B10" s="200" t="s">
        <v>98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</row>
    <row r="11" spans="1:19" ht="15.75">
      <c r="B11" s="200" t="s">
        <v>140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</row>
    <row r="12" spans="1:19" ht="15.75" customHeight="1">
      <c r="B12" s="202" t="s">
        <v>111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</row>
    <row r="13" spans="1:19">
      <c r="C13" s="184" t="s">
        <v>138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6.75" customHeight="1"/>
    <row r="15" spans="1:19" s="9" customFormat="1" ht="15.75" customHeight="1">
      <c r="A15" s="217" t="s">
        <v>53</v>
      </c>
      <c r="B15" s="210"/>
      <c r="C15" s="213" t="s">
        <v>0</v>
      </c>
      <c r="D15" s="214" t="s">
        <v>49</v>
      </c>
      <c r="E15" s="213" t="s">
        <v>1</v>
      </c>
      <c r="F15" s="209" t="s">
        <v>2</v>
      </c>
      <c r="G15" s="209" t="s">
        <v>3</v>
      </c>
      <c r="H15" s="209" t="s">
        <v>4</v>
      </c>
      <c r="I15" s="209" t="s">
        <v>56</v>
      </c>
      <c r="J15" s="210" t="s">
        <v>57</v>
      </c>
      <c r="K15" s="210"/>
      <c r="L15" s="210"/>
      <c r="M15" s="210"/>
      <c r="N15" s="210"/>
      <c r="O15" s="35"/>
      <c r="P15" s="210" t="s">
        <v>58</v>
      </c>
      <c r="Q15" s="210"/>
      <c r="R15" s="210"/>
      <c r="S15" s="210"/>
    </row>
    <row r="16" spans="1:19" ht="11.25" customHeight="1">
      <c r="A16" s="217"/>
      <c r="B16" s="210"/>
      <c r="C16" s="213"/>
      <c r="D16" s="214"/>
      <c r="E16" s="213"/>
      <c r="F16" s="209"/>
      <c r="G16" s="209"/>
      <c r="H16" s="209"/>
      <c r="I16" s="209"/>
      <c r="J16" s="215" t="s">
        <v>59</v>
      </c>
      <c r="K16" s="215" t="s">
        <v>60</v>
      </c>
      <c r="L16" s="215" t="s">
        <v>61</v>
      </c>
      <c r="M16" s="215" t="s">
        <v>62</v>
      </c>
      <c r="N16" s="215" t="s">
        <v>63</v>
      </c>
      <c r="O16" s="215"/>
      <c r="P16" s="215" t="s">
        <v>64</v>
      </c>
      <c r="Q16" s="215" t="s">
        <v>65</v>
      </c>
      <c r="R16" s="215" t="s">
        <v>66</v>
      </c>
      <c r="S16" s="211" t="s">
        <v>67</v>
      </c>
    </row>
    <row r="17" spans="1:19" ht="10.5" customHeight="1">
      <c r="A17" s="217"/>
      <c r="B17" s="210"/>
      <c r="C17" s="213"/>
      <c r="D17" s="214"/>
      <c r="E17" s="213"/>
      <c r="F17" s="209"/>
      <c r="G17" s="209"/>
      <c r="H17" s="209"/>
      <c r="I17" s="209"/>
      <c r="J17" s="216"/>
      <c r="K17" s="216"/>
      <c r="L17" s="216"/>
      <c r="M17" s="216"/>
      <c r="N17" s="216"/>
      <c r="O17" s="216"/>
      <c r="P17" s="216"/>
      <c r="Q17" s="216"/>
      <c r="R17" s="216"/>
      <c r="S17" s="212"/>
    </row>
    <row r="18" spans="1:19" ht="13.5" customHeight="1" thickBot="1">
      <c r="B18" s="224" t="s">
        <v>5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1:19" ht="16.5" thickBot="1">
      <c r="B19" s="197" t="s">
        <v>6</v>
      </c>
      <c r="C19" s="190" t="s">
        <v>7</v>
      </c>
      <c r="D19" s="3" t="s">
        <v>50</v>
      </c>
      <c r="E19" s="162">
        <v>200</v>
      </c>
      <c r="F19" s="36">
        <v>8.66</v>
      </c>
      <c r="G19" s="36">
        <v>11.9</v>
      </c>
      <c r="H19" s="36">
        <v>38.04</v>
      </c>
      <c r="I19" s="37">
        <v>205</v>
      </c>
      <c r="J19" s="40">
        <v>0.14000000000000001</v>
      </c>
      <c r="K19" s="40">
        <f>0.03*200/100</f>
        <v>0.06</v>
      </c>
      <c r="L19" s="40">
        <v>1.38</v>
      </c>
      <c r="M19" s="40"/>
      <c r="N19" s="55">
        <v>0.24</v>
      </c>
      <c r="O19" s="27"/>
      <c r="P19" s="61">
        <v>143.6</v>
      </c>
      <c r="Q19" s="40">
        <v>218.6</v>
      </c>
      <c r="R19" s="40">
        <v>50</v>
      </c>
      <c r="S19" s="40">
        <v>2.38</v>
      </c>
    </row>
    <row r="20" spans="1:19" ht="20.25" customHeight="1" thickBot="1">
      <c r="A20" s="9">
        <v>256</v>
      </c>
      <c r="B20" s="198"/>
      <c r="C20" s="191"/>
      <c r="D20" s="7" t="s">
        <v>51</v>
      </c>
      <c r="E20" s="162">
        <v>250</v>
      </c>
      <c r="F20" s="36">
        <v>10.83</v>
      </c>
      <c r="G20" s="36">
        <v>14.88</v>
      </c>
      <c r="H20" s="36">
        <v>47.55</v>
      </c>
      <c r="I20" s="37">
        <v>367</v>
      </c>
      <c r="J20" s="51">
        <v>0.18</v>
      </c>
      <c r="K20" s="51">
        <v>7.4999999999999997E-2</v>
      </c>
      <c r="L20" s="51">
        <v>1.73</v>
      </c>
      <c r="M20" s="51"/>
      <c r="N20" s="56">
        <v>0.3</v>
      </c>
      <c r="O20" s="27"/>
      <c r="P20" s="62">
        <v>179.5</v>
      </c>
      <c r="Q20" s="51">
        <v>273.25</v>
      </c>
      <c r="R20" s="51">
        <v>62.5</v>
      </c>
      <c r="S20" s="51">
        <v>2.98</v>
      </c>
    </row>
    <row r="21" spans="1:19" ht="28.5" customHeight="1" thickBot="1">
      <c r="A21" s="9">
        <v>376</v>
      </c>
      <c r="B21" s="198"/>
      <c r="C21" s="4" t="s">
        <v>8</v>
      </c>
      <c r="D21" s="7" t="s">
        <v>54</v>
      </c>
      <c r="E21" s="162">
        <v>200</v>
      </c>
      <c r="F21" s="4">
        <v>7.0000000000000007E-2</v>
      </c>
      <c r="G21" s="4">
        <v>0.02</v>
      </c>
      <c r="H21" s="162">
        <v>15</v>
      </c>
      <c r="I21" s="167">
        <v>60</v>
      </c>
      <c r="J21" s="159"/>
      <c r="K21" s="159"/>
      <c r="L21" s="159">
        <v>0.03</v>
      </c>
      <c r="M21" s="159"/>
      <c r="N21" s="168"/>
      <c r="O21" s="159"/>
      <c r="P21" s="169">
        <v>11.1</v>
      </c>
      <c r="Q21" s="159">
        <v>2.8</v>
      </c>
      <c r="R21" s="159">
        <v>1.4</v>
      </c>
      <c r="S21" s="170">
        <v>0.28000000000000003</v>
      </c>
    </row>
    <row r="22" spans="1:19" s="111" customFormat="1" ht="28.5" customHeight="1" thickBot="1">
      <c r="A22" s="111">
        <v>112</v>
      </c>
      <c r="B22" s="198"/>
      <c r="C22" s="156" t="s">
        <v>70</v>
      </c>
      <c r="D22" s="125" t="s">
        <v>68</v>
      </c>
      <c r="E22" s="162">
        <v>100</v>
      </c>
      <c r="F22" s="67">
        <v>0.4</v>
      </c>
      <c r="G22" s="67">
        <v>0.4</v>
      </c>
      <c r="H22" s="67">
        <v>9.8000000000000007</v>
      </c>
      <c r="I22" s="67">
        <v>47</v>
      </c>
      <c r="J22" s="68">
        <v>0.03</v>
      </c>
      <c r="K22" s="67">
        <v>0.02</v>
      </c>
      <c r="L22" s="67">
        <v>10</v>
      </c>
      <c r="M22" s="67"/>
      <c r="N22" s="67"/>
      <c r="P22" s="67">
        <v>16</v>
      </c>
      <c r="Q22" s="67">
        <v>11</v>
      </c>
      <c r="R22" s="67">
        <v>9</v>
      </c>
      <c r="S22" s="67">
        <v>2.2000000000000002</v>
      </c>
    </row>
    <row r="23" spans="1:19" ht="31.5" customHeight="1" thickBot="1">
      <c r="A23" s="9">
        <v>3</v>
      </c>
      <c r="B23" s="199"/>
      <c r="C23" s="145" t="s">
        <v>118</v>
      </c>
      <c r="D23" s="28" t="s">
        <v>68</v>
      </c>
      <c r="E23" s="162">
        <v>50</v>
      </c>
      <c r="F23" s="36">
        <v>5.8</v>
      </c>
      <c r="G23" s="36">
        <v>8.3000000000000007</v>
      </c>
      <c r="H23" s="36">
        <v>14.83</v>
      </c>
      <c r="I23" s="37">
        <v>157</v>
      </c>
      <c r="J23" s="52">
        <v>0.04</v>
      </c>
      <c r="K23" s="52">
        <f>0.3*80/100</f>
        <v>0.24</v>
      </c>
      <c r="L23" s="52">
        <v>0.11</v>
      </c>
      <c r="M23" s="53">
        <v>59</v>
      </c>
      <c r="N23" s="58"/>
      <c r="O23" s="27"/>
      <c r="P23" s="64">
        <v>139.19999999999999</v>
      </c>
      <c r="Q23" s="53">
        <v>96</v>
      </c>
      <c r="R23" s="53">
        <v>9.4499999999999993</v>
      </c>
      <c r="S23" s="53">
        <v>0.49</v>
      </c>
    </row>
    <row r="24" spans="1:19" ht="16.5" thickBot="1">
      <c r="B24" s="203" t="s">
        <v>55</v>
      </c>
      <c r="C24" s="204"/>
      <c r="D24" s="205"/>
      <c r="E24" s="163">
        <v>550</v>
      </c>
      <c r="F24" s="114">
        <v>14.97</v>
      </c>
      <c r="G24" s="114">
        <v>20.62</v>
      </c>
      <c r="H24" s="114">
        <v>77.599999999999994</v>
      </c>
      <c r="I24" s="114">
        <v>484</v>
      </c>
      <c r="J24" s="114">
        <f t="shared" ref="J24:M24" si="0">J19+J21+J23</f>
        <v>0.18000000000000002</v>
      </c>
      <c r="K24" s="114">
        <f t="shared" si="0"/>
        <v>0.3</v>
      </c>
      <c r="L24" s="114">
        <v>11.5</v>
      </c>
      <c r="M24" s="114">
        <f t="shared" si="0"/>
        <v>59</v>
      </c>
      <c r="N24" s="120"/>
      <c r="O24" s="121"/>
      <c r="P24" s="114">
        <v>309.89999999999998</v>
      </c>
      <c r="Q24" s="114">
        <v>328.4</v>
      </c>
      <c r="R24" s="114">
        <v>69.900000000000006</v>
      </c>
      <c r="S24" s="114">
        <v>5.4</v>
      </c>
    </row>
    <row r="25" spans="1:19" ht="16.5" customHeight="1" thickBot="1">
      <c r="B25" s="206" t="s">
        <v>52</v>
      </c>
      <c r="C25" s="207"/>
      <c r="D25" s="208"/>
      <c r="E25" s="164">
        <v>600</v>
      </c>
      <c r="F25" s="122">
        <v>17.07</v>
      </c>
      <c r="G25" s="122">
        <v>23.6</v>
      </c>
      <c r="H25" s="122">
        <v>87.2</v>
      </c>
      <c r="I25" s="122">
        <v>631</v>
      </c>
      <c r="J25" s="122">
        <f t="shared" ref="J25:M25" si="1">J20+J21+J23</f>
        <v>0.22</v>
      </c>
      <c r="K25" s="122">
        <f t="shared" si="1"/>
        <v>0.315</v>
      </c>
      <c r="L25" s="122">
        <v>11.9</v>
      </c>
      <c r="M25" s="122">
        <f t="shared" si="1"/>
        <v>59</v>
      </c>
      <c r="N25" s="123"/>
      <c r="O25" s="124"/>
      <c r="P25" s="122">
        <v>345.8</v>
      </c>
      <c r="Q25" s="122">
        <v>383.1</v>
      </c>
      <c r="R25" s="122">
        <v>82.4</v>
      </c>
      <c r="S25" s="122">
        <v>6</v>
      </c>
    </row>
    <row r="26" spans="1:19" ht="15.75" customHeight="1">
      <c r="A26" s="9">
        <v>136</v>
      </c>
      <c r="B26" s="197" t="s">
        <v>9</v>
      </c>
      <c r="C26" s="189" t="s">
        <v>141</v>
      </c>
      <c r="D26" s="105" t="s">
        <v>50</v>
      </c>
      <c r="E26" s="182">
        <v>100</v>
      </c>
      <c r="F26" s="181">
        <v>0.8</v>
      </c>
      <c r="G26" s="181">
        <v>0.1</v>
      </c>
      <c r="H26" s="181">
        <v>2.5</v>
      </c>
      <c r="I26" s="181">
        <v>14</v>
      </c>
      <c r="J26" s="181">
        <v>0.3</v>
      </c>
      <c r="K26" s="181">
        <v>0.04</v>
      </c>
      <c r="L26" s="181">
        <v>10</v>
      </c>
      <c r="M26" s="181">
        <v>0.01</v>
      </c>
      <c r="N26" s="181"/>
      <c r="O26" s="181"/>
      <c r="P26" s="181">
        <v>23</v>
      </c>
      <c r="Q26" s="181">
        <v>42</v>
      </c>
      <c r="R26" s="181">
        <v>14</v>
      </c>
      <c r="S26" s="54">
        <v>0.6</v>
      </c>
    </row>
    <row r="27" spans="1:19" ht="17.25" customHeight="1" thickBot="1">
      <c r="B27" s="198"/>
      <c r="C27" s="185"/>
      <c r="D27" s="181" t="s">
        <v>51</v>
      </c>
      <c r="E27" s="182">
        <v>100</v>
      </c>
      <c r="F27" s="181">
        <v>0.8</v>
      </c>
      <c r="G27" s="181">
        <v>0.1</v>
      </c>
      <c r="H27" s="181">
        <v>2.5</v>
      </c>
      <c r="I27" s="181">
        <v>14</v>
      </c>
      <c r="J27" s="181">
        <v>0.3</v>
      </c>
      <c r="K27" s="181">
        <v>0.04</v>
      </c>
      <c r="L27" s="181">
        <v>10</v>
      </c>
      <c r="M27" s="181">
        <v>0.01</v>
      </c>
      <c r="N27" s="181"/>
      <c r="O27" s="181"/>
      <c r="P27" s="181">
        <v>23</v>
      </c>
      <c r="Q27" s="181">
        <v>42</v>
      </c>
      <c r="R27" s="181">
        <v>14</v>
      </c>
      <c r="S27" s="54">
        <v>0.6</v>
      </c>
    </row>
    <row r="28" spans="1:19" ht="19.5" customHeight="1" thickBot="1">
      <c r="A28" s="9">
        <v>82</v>
      </c>
      <c r="B28" s="198"/>
      <c r="C28" s="190" t="s">
        <v>119</v>
      </c>
      <c r="D28" s="3" t="s">
        <v>50</v>
      </c>
      <c r="E28" s="165">
        <v>200</v>
      </c>
      <c r="F28" s="101">
        <v>6.8</v>
      </c>
      <c r="G28" s="101">
        <v>5.8</v>
      </c>
      <c r="H28" s="101">
        <v>14.02</v>
      </c>
      <c r="I28" s="101">
        <v>132.80000000000001</v>
      </c>
      <c r="J28" s="101">
        <v>0.1</v>
      </c>
      <c r="K28" s="101">
        <v>7.0000000000000007E-2</v>
      </c>
      <c r="L28" s="101">
        <v>6.88</v>
      </c>
      <c r="M28" s="101">
        <v>8</v>
      </c>
      <c r="N28" s="102">
        <v>1.1000000000000001</v>
      </c>
      <c r="O28" s="103"/>
      <c r="P28" s="104">
        <v>26.08</v>
      </c>
      <c r="Q28" s="101">
        <v>84.56</v>
      </c>
      <c r="R28" s="101">
        <v>25.4</v>
      </c>
      <c r="S28" s="101">
        <v>1.2</v>
      </c>
    </row>
    <row r="29" spans="1:19" ht="21.75" customHeight="1" thickBot="1">
      <c r="B29" s="198"/>
      <c r="C29" s="191"/>
      <c r="D29" s="7" t="s">
        <v>51</v>
      </c>
      <c r="E29" s="162">
        <v>250</v>
      </c>
      <c r="F29" s="101">
        <v>8.34</v>
      </c>
      <c r="G29" s="101">
        <v>7.09</v>
      </c>
      <c r="H29" s="101">
        <v>17.14</v>
      </c>
      <c r="I29" s="101">
        <v>166</v>
      </c>
      <c r="J29" s="101">
        <v>0.12</v>
      </c>
      <c r="K29" s="101">
        <f>0.03*250/100</f>
        <v>7.4999999999999997E-2</v>
      </c>
      <c r="L29" s="101">
        <v>8.6</v>
      </c>
      <c r="M29" s="101">
        <v>10</v>
      </c>
      <c r="N29" s="102">
        <v>1.4</v>
      </c>
      <c r="O29" s="103"/>
      <c r="P29" s="104">
        <v>32.6</v>
      </c>
      <c r="Q29" s="101">
        <v>105.7</v>
      </c>
      <c r="R29" s="101">
        <v>31.75</v>
      </c>
      <c r="S29" s="101">
        <v>1.48</v>
      </c>
    </row>
    <row r="30" spans="1:19" ht="21" customHeight="1" thickBot="1">
      <c r="A30" s="9">
        <v>288</v>
      </c>
      <c r="B30" s="198"/>
      <c r="C30" s="190" t="s">
        <v>10</v>
      </c>
      <c r="D30" s="3" t="s">
        <v>50</v>
      </c>
      <c r="E30" s="162">
        <v>100</v>
      </c>
      <c r="F30" s="141">
        <v>23.48</v>
      </c>
      <c r="G30" s="141">
        <v>25.82</v>
      </c>
      <c r="H30" s="141">
        <v>4.8000000000000001E-2</v>
      </c>
      <c r="I30" s="141">
        <v>328</v>
      </c>
      <c r="J30" s="38">
        <f>0.04*100/100</f>
        <v>0.04</v>
      </c>
      <c r="K30" s="38">
        <f>0.14*100/100</f>
        <v>0.14000000000000001</v>
      </c>
      <c r="L30" s="40">
        <v>2.36</v>
      </c>
      <c r="M30" s="36">
        <v>98.2</v>
      </c>
      <c r="N30" s="59"/>
      <c r="O30" s="27"/>
      <c r="P30" s="65">
        <v>56</v>
      </c>
      <c r="Q30" s="36">
        <v>167</v>
      </c>
      <c r="R30" s="36">
        <v>20.28</v>
      </c>
      <c r="S30" s="36">
        <v>1.9</v>
      </c>
    </row>
    <row r="31" spans="1:19" ht="16.5" customHeight="1" thickBot="1">
      <c r="B31" s="198"/>
      <c r="C31" s="191"/>
      <c r="D31" s="7" t="s">
        <v>51</v>
      </c>
      <c r="E31" s="162">
        <v>100</v>
      </c>
      <c r="F31" s="145">
        <v>23.48</v>
      </c>
      <c r="G31" s="145">
        <v>25.82</v>
      </c>
      <c r="H31" s="145">
        <v>4.8000000000000001E-2</v>
      </c>
      <c r="I31" s="145">
        <v>328</v>
      </c>
      <c r="J31" s="38">
        <f>0.04*100/100</f>
        <v>0.04</v>
      </c>
      <c r="K31" s="38">
        <f>0.14*100/100</f>
        <v>0.14000000000000001</v>
      </c>
      <c r="L31" s="40">
        <v>2.36</v>
      </c>
      <c r="M31" s="36">
        <v>98.2</v>
      </c>
      <c r="N31" s="59"/>
      <c r="O31" s="27"/>
      <c r="P31" s="65">
        <v>56</v>
      </c>
      <c r="Q31" s="36">
        <v>167</v>
      </c>
      <c r="R31" s="36">
        <v>20.28</v>
      </c>
      <c r="S31" s="36">
        <v>1.9</v>
      </c>
    </row>
    <row r="32" spans="1:19" ht="18.75" customHeight="1" thickBot="1">
      <c r="A32" s="9">
        <v>143</v>
      </c>
      <c r="B32" s="198"/>
      <c r="C32" s="190" t="s">
        <v>69</v>
      </c>
      <c r="D32" s="3" t="s">
        <v>50</v>
      </c>
      <c r="E32" s="162">
        <v>200</v>
      </c>
      <c r="F32" s="4">
        <v>3.46</v>
      </c>
      <c r="G32" s="4">
        <v>21.46</v>
      </c>
      <c r="H32" s="4">
        <v>16.79</v>
      </c>
      <c r="I32" s="4">
        <v>210</v>
      </c>
      <c r="J32" s="38">
        <v>0.12</v>
      </c>
      <c r="K32" s="38">
        <f>0.05*200/100</f>
        <v>0.1</v>
      </c>
      <c r="L32" s="36">
        <v>24.42</v>
      </c>
      <c r="M32" s="40">
        <v>90</v>
      </c>
      <c r="N32" s="55"/>
      <c r="O32" s="27"/>
      <c r="P32" s="65">
        <v>72.55</v>
      </c>
      <c r="Q32" s="36">
        <v>87.86</v>
      </c>
      <c r="R32" s="36">
        <v>31.75</v>
      </c>
      <c r="S32" s="36">
        <v>1.17</v>
      </c>
    </row>
    <row r="33" spans="1:19" ht="13.5" customHeight="1" thickBot="1">
      <c r="B33" s="198"/>
      <c r="C33" s="192"/>
      <c r="D33" s="29" t="s">
        <v>51</v>
      </c>
      <c r="E33" s="162">
        <v>200</v>
      </c>
      <c r="F33" s="156">
        <v>3.46</v>
      </c>
      <c r="G33" s="156">
        <v>21.46</v>
      </c>
      <c r="H33" s="156">
        <v>16.79</v>
      </c>
      <c r="I33" s="156">
        <v>210</v>
      </c>
      <c r="J33" s="38">
        <v>0.12</v>
      </c>
      <c r="K33" s="38">
        <f>0.05*200/100</f>
        <v>0.1</v>
      </c>
      <c r="L33" s="36">
        <v>24.42</v>
      </c>
      <c r="M33" s="40">
        <v>90</v>
      </c>
      <c r="N33" s="55"/>
      <c r="O33" s="27"/>
      <c r="P33" s="65">
        <v>72.55</v>
      </c>
      <c r="Q33" s="36">
        <v>87.86</v>
      </c>
      <c r="R33" s="36">
        <v>31.75</v>
      </c>
      <c r="S33" s="36">
        <v>1.17</v>
      </c>
    </row>
    <row r="34" spans="1:19" ht="32.25" customHeight="1" thickBot="1">
      <c r="A34" s="9">
        <v>372</v>
      </c>
      <c r="B34" s="198"/>
      <c r="C34" s="142" t="s">
        <v>116</v>
      </c>
      <c r="D34" s="74" t="s">
        <v>75</v>
      </c>
      <c r="E34" s="162">
        <v>200</v>
      </c>
      <c r="F34" s="40">
        <f>0.1*200/100</f>
        <v>0.2</v>
      </c>
      <c r="G34" s="40">
        <v>0.2</v>
      </c>
      <c r="H34" s="40">
        <v>23.9</v>
      </c>
      <c r="I34" s="40">
        <v>98</v>
      </c>
      <c r="J34" s="40">
        <v>0.01</v>
      </c>
      <c r="K34" s="40">
        <v>1.7</v>
      </c>
      <c r="L34" s="40">
        <f>5.4*200/200</f>
        <v>5.4</v>
      </c>
      <c r="M34" s="40"/>
      <c r="N34" s="40"/>
      <c r="O34" s="111"/>
      <c r="P34" s="40">
        <v>14.5</v>
      </c>
      <c r="Q34" s="40">
        <v>4.4000000000000004</v>
      </c>
      <c r="R34" s="40">
        <v>3.6</v>
      </c>
      <c r="S34" s="40">
        <v>0.9</v>
      </c>
    </row>
    <row r="35" spans="1:19" ht="28.5" customHeight="1" thickBot="1">
      <c r="A35" s="9">
        <v>109</v>
      </c>
      <c r="B35" s="198"/>
      <c r="C35" s="145" t="s">
        <v>11</v>
      </c>
      <c r="D35" s="125" t="s">
        <v>68</v>
      </c>
      <c r="E35" s="162">
        <v>50</v>
      </c>
      <c r="F35" s="4">
        <v>3.3</v>
      </c>
      <c r="G35" s="4">
        <v>0.6</v>
      </c>
      <c r="H35" s="4">
        <v>16.7</v>
      </c>
      <c r="I35" s="4">
        <v>80</v>
      </c>
      <c r="J35" s="16">
        <v>0.9</v>
      </c>
      <c r="K35" s="16">
        <v>0.02</v>
      </c>
      <c r="L35" s="16"/>
      <c r="M35" s="16"/>
      <c r="N35" s="16">
        <v>0.7</v>
      </c>
      <c r="O35" s="47"/>
      <c r="P35" s="16">
        <v>35</v>
      </c>
      <c r="Q35" s="16">
        <v>158</v>
      </c>
      <c r="R35" s="16">
        <v>47</v>
      </c>
      <c r="S35" s="39">
        <v>3.9</v>
      </c>
    </row>
    <row r="36" spans="1:19" ht="24" customHeight="1" thickBot="1">
      <c r="B36" s="199"/>
      <c r="C36" s="41"/>
      <c r="D36" s="125"/>
      <c r="E36" s="43"/>
      <c r="F36" s="67"/>
      <c r="G36" s="67"/>
      <c r="H36" s="67"/>
      <c r="I36" s="67"/>
      <c r="J36" s="68"/>
      <c r="K36" s="67"/>
      <c r="L36" s="67"/>
      <c r="M36" s="67"/>
      <c r="N36" s="67"/>
      <c r="P36" s="67"/>
      <c r="Q36" s="67"/>
      <c r="R36" s="67"/>
      <c r="S36" s="67"/>
    </row>
    <row r="37" spans="1:19" ht="17.25" customHeight="1" thickBot="1">
      <c r="B37" s="5"/>
      <c r="C37" s="14" t="s">
        <v>47</v>
      </c>
      <c r="D37" s="14"/>
      <c r="E37" s="162">
        <v>850</v>
      </c>
      <c r="F37" s="4">
        <f>F26+F30+F32+F34+F35+F36+F28</f>
        <v>38.04</v>
      </c>
      <c r="G37" s="4">
        <v>53.98</v>
      </c>
      <c r="H37" s="4">
        <v>73.957999999999998</v>
      </c>
      <c r="I37" s="4">
        <f t="shared" ref="I37:N37" si="2">I28+I30+I32+I34+I35+I36</f>
        <v>848.8</v>
      </c>
      <c r="J37" s="41">
        <f t="shared" si="2"/>
        <v>1.17</v>
      </c>
      <c r="K37" s="41">
        <f t="shared" si="2"/>
        <v>2.0299999999999998</v>
      </c>
      <c r="L37" s="41">
        <f t="shared" si="2"/>
        <v>39.06</v>
      </c>
      <c r="M37" s="41">
        <f t="shared" si="2"/>
        <v>196.2</v>
      </c>
      <c r="N37" s="44">
        <f t="shared" si="2"/>
        <v>1.8</v>
      </c>
      <c r="O37" s="47"/>
      <c r="P37" s="41">
        <f>P28+P30+P32+P34+P35+Q36</f>
        <v>204.13</v>
      </c>
      <c r="Q37" s="41">
        <f>Q28+Q30+Q32+Q34+Q35+R36</f>
        <v>501.82</v>
      </c>
      <c r="R37" s="41">
        <f>R28+R30+R32+R34+R35+S36</f>
        <v>128.03</v>
      </c>
      <c r="S37" s="12">
        <f>S28+S30+S32+S34+S35+S36</f>
        <v>9.07</v>
      </c>
    </row>
    <row r="38" spans="1:19" ht="24.75" customHeight="1" thickBot="1">
      <c r="B38" s="5"/>
      <c r="C38" s="15" t="s">
        <v>48</v>
      </c>
      <c r="D38" s="30"/>
      <c r="E38" s="166">
        <v>950</v>
      </c>
      <c r="F38" s="3">
        <v>39.58</v>
      </c>
      <c r="G38" s="3">
        <v>55.27</v>
      </c>
      <c r="H38" s="3">
        <v>77.078000000000003</v>
      </c>
      <c r="I38" s="3">
        <v>896</v>
      </c>
      <c r="J38" s="3">
        <f t="shared" ref="J38:N38" si="3">J29+J31+J33+J34+J35+J36</f>
        <v>1.19</v>
      </c>
      <c r="K38" s="3">
        <f t="shared" si="3"/>
        <v>2.0350000000000001</v>
      </c>
      <c r="L38" s="3">
        <f t="shared" si="3"/>
        <v>40.78</v>
      </c>
      <c r="M38" s="3">
        <f t="shared" si="3"/>
        <v>198.2</v>
      </c>
      <c r="N38" s="16">
        <f t="shared" si="3"/>
        <v>2.0999999999999996</v>
      </c>
      <c r="O38" s="47"/>
      <c r="P38" s="3">
        <f>P29+P31+P33+P34+P35+Q36</f>
        <v>210.64999999999998</v>
      </c>
      <c r="Q38" s="3">
        <f>Q29+Q31+Q33+Q34+Q35+R36</f>
        <v>522.96</v>
      </c>
      <c r="R38" s="3">
        <f>R29+R31+R33+R34+R35+S36</f>
        <v>134.38</v>
      </c>
      <c r="S38" s="69">
        <f>S29+S31+S33+S34+S35+S36</f>
        <v>9.35</v>
      </c>
    </row>
    <row r="39" spans="1:19" ht="15.75">
      <c r="B39" s="218" t="s">
        <v>46</v>
      </c>
      <c r="C39" s="219"/>
      <c r="D39" s="31" t="s">
        <v>50</v>
      </c>
      <c r="E39" s="13"/>
      <c r="F39" s="13">
        <f t="shared" ref="F39:N39" si="4">F24+F37</f>
        <v>53.01</v>
      </c>
      <c r="G39" s="13">
        <f t="shared" si="4"/>
        <v>74.599999999999994</v>
      </c>
      <c r="H39" s="13">
        <f t="shared" si="4"/>
        <v>151.55799999999999</v>
      </c>
      <c r="I39" s="13">
        <f t="shared" si="4"/>
        <v>1332.8</v>
      </c>
      <c r="J39" s="13">
        <f t="shared" si="4"/>
        <v>1.3499999999999999</v>
      </c>
      <c r="K39" s="13">
        <f t="shared" si="4"/>
        <v>2.3299999999999996</v>
      </c>
      <c r="L39" s="13">
        <f t="shared" si="4"/>
        <v>50.56</v>
      </c>
      <c r="M39" s="13">
        <f t="shared" si="4"/>
        <v>255.2</v>
      </c>
      <c r="N39" s="60">
        <f t="shared" si="4"/>
        <v>1.8</v>
      </c>
      <c r="O39" s="13"/>
      <c r="P39" s="66">
        <f>P24+P37</f>
        <v>514.03</v>
      </c>
      <c r="Q39" s="13">
        <f>Q24+Q37</f>
        <v>830.22</v>
      </c>
      <c r="R39" s="13">
        <f>R24+R37</f>
        <v>197.93</v>
      </c>
      <c r="S39" s="13">
        <f>S24+S37</f>
        <v>14.47</v>
      </c>
    </row>
    <row r="40" spans="1:19" ht="26.25" customHeight="1" thickBot="1">
      <c r="B40" s="220"/>
      <c r="C40" s="221"/>
      <c r="D40" s="31" t="s">
        <v>51</v>
      </c>
      <c r="E40" s="13"/>
      <c r="F40" s="13">
        <f t="shared" ref="F40:N40" si="5">F38+F25</f>
        <v>56.65</v>
      </c>
      <c r="G40" s="13">
        <f t="shared" si="5"/>
        <v>78.87</v>
      </c>
      <c r="H40" s="13">
        <f t="shared" si="5"/>
        <v>164.27800000000002</v>
      </c>
      <c r="I40" s="13">
        <f t="shared" si="5"/>
        <v>1527</v>
      </c>
      <c r="J40" s="13">
        <f t="shared" si="5"/>
        <v>1.41</v>
      </c>
      <c r="K40" s="13">
        <f t="shared" si="5"/>
        <v>2.35</v>
      </c>
      <c r="L40" s="13">
        <f t="shared" si="5"/>
        <v>52.68</v>
      </c>
      <c r="M40" s="13">
        <f t="shared" si="5"/>
        <v>257.2</v>
      </c>
      <c r="N40" s="60">
        <f t="shared" si="5"/>
        <v>2.0999999999999996</v>
      </c>
      <c r="O40" s="13"/>
      <c r="P40" s="66">
        <f>P38+P25</f>
        <v>556.45000000000005</v>
      </c>
      <c r="Q40" s="13">
        <f>Q38+Q25</f>
        <v>906.06000000000006</v>
      </c>
      <c r="R40" s="13">
        <f>R38+R25</f>
        <v>216.78</v>
      </c>
      <c r="S40" s="13">
        <f>S38+S25</f>
        <v>15.35</v>
      </c>
    </row>
    <row r="41" spans="1:19" ht="16.5" thickBot="1">
      <c r="B41" s="222" t="s">
        <v>12</v>
      </c>
      <c r="C41" s="223"/>
      <c r="D41" s="186"/>
      <c r="E41" s="186"/>
      <c r="F41" s="186"/>
      <c r="G41" s="186"/>
      <c r="H41" s="186"/>
      <c r="I41" s="188"/>
      <c r="J41" s="16"/>
      <c r="K41" s="16"/>
      <c r="L41" s="16"/>
      <c r="M41" s="16"/>
      <c r="N41" s="16"/>
      <c r="O41" s="76"/>
      <c r="P41" s="16"/>
      <c r="Q41" s="16"/>
      <c r="R41" s="16"/>
    </row>
    <row r="42" spans="1:19" ht="33.75" customHeight="1" thickBot="1">
      <c r="A42" s="9">
        <v>111</v>
      </c>
      <c r="B42" s="197" t="s">
        <v>13</v>
      </c>
      <c r="C42" s="145" t="s">
        <v>117</v>
      </c>
      <c r="D42" s="48" t="s">
        <v>75</v>
      </c>
      <c r="E42" s="162">
        <v>60</v>
      </c>
      <c r="F42" s="4">
        <v>4.5</v>
      </c>
      <c r="G42" s="4">
        <v>1.74</v>
      </c>
      <c r="H42" s="4">
        <v>30.84</v>
      </c>
      <c r="I42" s="94">
        <v>157.19999999999999</v>
      </c>
      <c r="J42" s="96">
        <v>7.0000000000000007E-2</v>
      </c>
      <c r="K42" s="96">
        <v>1.7999999999999999E-2</v>
      </c>
      <c r="L42" s="96"/>
      <c r="M42" s="96"/>
      <c r="N42" s="96">
        <v>1.02</v>
      </c>
      <c r="O42" s="27"/>
      <c r="P42" s="96">
        <v>11.4</v>
      </c>
      <c r="Q42" s="96">
        <v>39</v>
      </c>
      <c r="R42" s="96">
        <v>7.8</v>
      </c>
      <c r="S42" s="96">
        <v>0.7</v>
      </c>
    </row>
    <row r="43" spans="1:19" ht="16.5" thickBot="1">
      <c r="A43" s="9">
        <v>250</v>
      </c>
      <c r="B43" s="198"/>
      <c r="C43" s="190" t="s">
        <v>14</v>
      </c>
      <c r="D43" s="73" t="s">
        <v>47</v>
      </c>
      <c r="E43" s="162">
        <v>200</v>
      </c>
      <c r="F43" s="4">
        <v>7.74</v>
      </c>
      <c r="G43" s="4">
        <v>11.82</v>
      </c>
      <c r="H43" s="4">
        <v>35.54</v>
      </c>
      <c r="I43" s="94">
        <v>279</v>
      </c>
      <c r="J43" s="96">
        <v>0.08</v>
      </c>
      <c r="K43" s="96">
        <v>1.42</v>
      </c>
      <c r="L43" s="96"/>
      <c r="M43" s="96">
        <v>0.08</v>
      </c>
      <c r="N43" s="96">
        <v>0.76</v>
      </c>
      <c r="O43" s="27"/>
      <c r="P43" s="96">
        <v>140.6</v>
      </c>
      <c r="Q43" s="96">
        <v>136.4</v>
      </c>
      <c r="R43" s="96">
        <v>23</v>
      </c>
      <c r="S43" s="96">
        <v>0.56000000000000005</v>
      </c>
    </row>
    <row r="44" spans="1:19" ht="16.5" thickBot="1">
      <c r="B44" s="198"/>
      <c r="C44" s="191"/>
      <c r="D44" s="74" t="s">
        <v>76</v>
      </c>
      <c r="E44" s="162">
        <v>250</v>
      </c>
      <c r="F44" s="4">
        <v>9.68</v>
      </c>
      <c r="G44" s="4">
        <v>14.78</v>
      </c>
      <c r="H44" s="4">
        <v>44.43</v>
      </c>
      <c r="I44" s="94">
        <v>349</v>
      </c>
      <c r="J44" s="96">
        <v>0.11</v>
      </c>
      <c r="K44" s="96">
        <v>1.78</v>
      </c>
      <c r="L44" s="96"/>
      <c r="M44" s="96">
        <v>0.1</v>
      </c>
      <c r="N44" s="96">
        <v>0.95</v>
      </c>
      <c r="O44" s="27"/>
      <c r="P44" s="96">
        <v>175.75</v>
      </c>
      <c r="Q44" s="96">
        <v>170.5</v>
      </c>
      <c r="R44" s="96">
        <v>28.75</v>
      </c>
      <c r="S44" s="96">
        <v>0.7</v>
      </c>
    </row>
    <row r="45" spans="1:19" ht="35.25" customHeight="1" thickBot="1">
      <c r="A45" s="9">
        <v>300</v>
      </c>
      <c r="B45" s="198"/>
      <c r="C45" s="4" t="s">
        <v>15</v>
      </c>
      <c r="D45" s="74" t="s">
        <v>77</v>
      </c>
      <c r="E45" s="162">
        <v>40</v>
      </c>
      <c r="F45" s="3">
        <v>5.0999999999999996</v>
      </c>
      <c r="G45" s="3">
        <v>4.5999999999999996</v>
      </c>
      <c r="H45" s="3">
        <v>0.3</v>
      </c>
      <c r="I45" s="16">
        <v>63</v>
      </c>
      <c r="J45" s="96">
        <v>0.03</v>
      </c>
      <c r="K45" s="96">
        <v>0</v>
      </c>
      <c r="L45" s="96"/>
      <c r="M45" s="96">
        <v>0.1</v>
      </c>
      <c r="N45" s="96">
        <v>0.2</v>
      </c>
      <c r="O45" s="96"/>
      <c r="P45" s="96">
        <v>22</v>
      </c>
      <c r="Q45" s="96">
        <v>77</v>
      </c>
      <c r="R45" s="96">
        <v>5</v>
      </c>
      <c r="S45" s="54">
        <v>1</v>
      </c>
    </row>
    <row r="46" spans="1:19" ht="31.5" customHeight="1" thickBot="1">
      <c r="A46" s="9">
        <v>377</v>
      </c>
      <c r="B46" s="199"/>
      <c r="C46" s="139" t="s">
        <v>107</v>
      </c>
      <c r="D46" s="74" t="s">
        <v>78</v>
      </c>
      <c r="E46" s="167">
        <v>200</v>
      </c>
      <c r="F46" s="40">
        <v>0.13</v>
      </c>
      <c r="G46" s="40">
        <v>0.02</v>
      </c>
      <c r="H46" s="40">
        <f>15.2*200/200</f>
        <v>15.2</v>
      </c>
      <c r="I46" s="40">
        <v>62</v>
      </c>
      <c r="J46" s="40"/>
      <c r="K46" s="40">
        <v>2.83</v>
      </c>
      <c r="L46" s="40"/>
      <c r="M46" s="40"/>
      <c r="N46" s="40"/>
      <c r="O46" s="40"/>
      <c r="P46" s="40">
        <v>14.2</v>
      </c>
      <c r="Q46" s="40">
        <v>4.4000000000000004</v>
      </c>
      <c r="R46" s="40">
        <v>2.4</v>
      </c>
      <c r="S46" s="77">
        <v>0.36</v>
      </c>
    </row>
    <row r="47" spans="1:19" ht="18.75" customHeight="1" thickBot="1">
      <c r="B47" s="5"/>
      <c r="C47" s="14" t="s">
        <v>47</v>
      </c>
      <c r="D47" s="14"/>
      <c r="E47" s="163">
        <v>500</v>
      </c>
      <c r="F47" s="82">
        <f t="shared" ref="F47:K47" si="6">F42+F43+F45+F46</f>
        <v>17.47</v>
      </c>
      <c r="G47" s="82">
        <f t="shared" si="6"/>
        <v>18.18</v>
      </c>
      <c r="H47" s="82">
        <f t="shared" si="6"/>
        <v>81.88</v>
      </c>
      <c r="I47" s="82">
        <f t="shared" si="6"/>
        <v>561.20000000000005</v>
      </c>
      <c r="J47" s="82">
        <f t="shared" si="6"/>
        <v>0.18000000000000002</v>
      </c>
      <c r="K47" s="82">
        <f t="shared" si="6"/>
        <v>4.2679999999999998</v>
      </c>
      <c r="L47" s="82"/>
      <c r="M47" s="82">
        <f>M42+M43+M45+M46</f>
        <v>0.18</v>
      </c>
      <c r="N47" s="82">
        <f>N42+N43+N45+N46</f>
        <v>1.98</v>
      </c>
      <c r="O47" s="126"/>
      <c r="P47" s="82">
        <f>P42+P43+P45+P46</f>
        <v>188.2</v>
      </c>
      <c r="Q47" s="82">
        <f>Q42+Q43+Q45+Q46</f>
        <v>256.8</v>
      </c>
      <c r="R47" s="82">
        <f>R42+R43+R45+R46</f>
        <v>38.199999999999996</v>
      </c>
      <c r="S47" s="82">
        <f>S42+S43+S45+S46</f>
        <v>2.6199999999999997</v>
      </c>
    </row>
    <row r="48" spans="1:19" ht="21.75" customHeight="1" thickBot="1">
      <c r="B48" s="5"/>
      <c r="C48" s="15" t="s">
        <v>48</v>
      </c>
      <c r="D48" s="14"/>
      <c r="E48" s="163">
        <v>550</v>
      </c>
      <c r="F48" s="82">
        <f t="shared" ref="F48:K48" si="7">F42+F44+F45+F46</f>
        <v>19.41</v>
      </c>
      <c r="G48" s="82">
        <f t="shared" si="7"/>
        <v>21.139999999999997</v>
      </c>
      <c r="H48" s="82">
        <f t="shared" si="7"/>
        <v>90.77</v>
      </c>
      <c r="I48" s="82">
        <f t="shared" si="7"/>
        <v>631.20000000000005</v>
      </c>
      <c r="J48" s="82">
        <f t="shared" si="7"/>
        <v>0.21</v>
      </c>
      <c r="K48" s="82">
        <f t="shared" si="7"/>
        <v>4.6280000000000001</v>
      </c>
      <c r="L48" s="82"/>
      <c r="M48" s="82">
        <f>M42+M44+M45+M46</f>
        <v>0.2</v>
      </c>
      <c r="N48" s="82">
        <f>N42+N44+N45+N46</f>
        <v>2.17</v>
      </c>
      <c r="O48" s="127"/>
      <c r="P48" s="82">
        <f>P42+P44+P45+P46</f>
        <v>223.35</v>
      </c>
      <c r="Q48" s="82">
        <f>Q42+Q44+Q45+Q46</f>
        <v>290.89999999999998</v>
      </c>
      <c r="R48" s="82">
        <f>R42+R44+R45+R46</f>
        <v>43.949999999999996</v>
      </c>
      <c r="S48" s="82">
        <f>S42+S44+S45+S46</f>
        <v>2.76</v>
      </c>
    </row>
    <row r="49" spans="1:19" ht="12" customHeight="1" thickBot="1">
      <c r="B49" s="197" t="s">
        <v>9</v>
      </c>
      <c r="C49" s="190"/>
      <c r="D49" s="73"/>
      <c r="E49" s="162"/>
      <c r="F49" s="4"/>
      <c r="G49" s="4"/>
      <c r="H49" s="4"/>
      <c r="I49" s="4"/>
      <c r="J49" s="40"/>
      <c r="K49" s="40"/>
      <c r="L49" s="40"/>
      <c r="M49" s="40"/>
      <c r="N49" s="40"/>
      <c r="P49" s="40"/>
      <c r="Q49" s="40"/>
      <c r="R49" s="38"/>
      <c r="S49" s="38"/>
    </row>
    <row r="50" spans="1:19" ht="1.5" customHeight="1" thickBot="1">
      <c r="B50" s="198"/>
      <c r="C50" s="191"/>
      <c r="D50" s="74"/>
      <c r="E50" s="162"/>
      <c r="F50" s="48"/>
      <c r="G50" s="48"/>
      <c r="H50" s="48"/>
      <c r="I50" s="48"/>
      <c r="J50" s="40"/>
      <c r="K50" s="40"/>
      <c r="L50" s="40"/>
      <c r="M50" s="40"/>
      <c r="N50" s="40"/>
      <c r="O50" s="50"/>
      <c r="P50" s="40"/>
      <c r="Q50" s="40"/>
      <c r="R50" s="38"/>
      <c r="S50" s="38"/>
    </row>
    <row r="51" spans="1:19" s="111" customFormat="1" ht="31.5" customHeight="1" thickBot="1">
      <c r="A51" s="111">
        <v>131</v>
      </c>
      <c r="B51" s="198"/>
      <c r="C51" s="2" t="s">
        <v>103</v>
      </c>
      <c r="D51" s="73" t="s">
        <v>131</v>
      </c>
      <c r="E51" s="166">
        <v>100</v>
      </c>
      <c r="F51" s="3">
        <v>0.74</v>
      </c>
      <c r="G51" s="3">
        <v>0.05</v>
      </c>
      <c r="H51" s="3">
        <v>1.56</v>
      </c>
      <c r="I51" s="134">
        <v>9.6</v>
      </c>
      <c r="J51" s="40">
        <v>0.03</v>
      </c>
      <c r="K51" s="40">
        <v>2.4</v>
      </c>
      <c r="L51" s="40">
        <v>0</v>
      </c>
      <c r="M51" s="40">
        <v>0</v>
      </c>
      <c r="N51" s="40">
        <v>0</v>
      </c>
      <c r="P51" s="40">
        <v>4.8</v>
      </c>
      <c r="Q51" s="40">
        <v>14.88</v>
      </c>
      <c r="R51" s="38">
        <v>5.04</v>
      </c>
      <c r="S51" s="38">
        <v>0.17</v>
      </c>
    </row>
    <row r="52" spans="1:19" ht="30.75" customHeight="1" thickBot="1">
      <c r="A52" s="9">
        <v>57</v>
      </c>
      <c r="B52" s="198"/>
      <c r="C52" s="190" t="s">
        <v>120</v>
      </c>
      <c r="D52" s="73" t="s">
        <v>47</v>
      </c>
      <c r="E52" s="165">
        <v>200</v>
      </c>
      <c r="F52" s="6">
        <v>7.47</v>
      </c>
      <c r="G52" s="6">
        <v>9.16</v>
      </c>
      <c r="H52" s="6">
        <v>12.74</v>
      </c>
      <c r="I52" s="98">
        <v>164</v>
      </c>
      <c r="J52" s="96">
        <v>0.06</v>
      </c>
      <c r="K52" s="96">
        <v>10.64</v>
      </c>
      <c r="L52" s="96"/>
      <c r="M52" s="96">
        <v>10</v>
      </c>
      <c r="N52" s="96">
        <v>2.4</v>
      </c>
      <c r="O52" s="27"/>
      <c r="P52" s="96">
        <v>52.65</v>
      </c>
      <c r="Q52" s="96">
        <v>92.2</v>
      </c>
      <c r="R52" s="96">
        <v>31.05</v>
      </c>
      <c r="S52" s="96">
        <v>1.59</v>
      </c>
    </row>
    <row r="53" spans="1:19" ht="24" customHeight="1" thickBot="1">
      <c r="B53" s="198"/>
      <c r="C53" s="191"/>
      <c r="D53" s="73" t="s">
        <v>76</v>
      </c>
      <c r="E53" s="165">
        <v>250</v>
      </c>
      <c r="F53" s="6">
        <v>9.33</v>
      </c>
      <c r="G53" s="6">
        <v>11.45</v>
      </c>
      <c r="H53" s="6">
        <v>31.85</v>
      </c>
      <c r="I53" s="98">
        <v>205</v>
      </c>
      <c r="J53" s="146">
        <v>7.0000000000000007E-2</v>
      </c>
      <c r="K53" s="146">
        <v>13.3</v>
      </c>
      <c r="L53" s="146"/>
      <c r="M53" s="146">
        <v>12.5</v>
      </c>
      <c r="N53" s="146">
        <v>3</v>
      </c>
      <c r="O53" s="27"/>
      <c r="P53" s="146">
        <v>65.81</v>
      </c>
      <c r="Q53" s="146">
        <v>115.25</v>
      </c>
      <c r="R53" s="146">
        <v>38.81</v>
      </c>
      <c r="S53" s="146">
        <v>1.98</v>
      </c>
    </row>
    <row r="54" spans="1:19" ht="30.75" customHeight="1" thickBot="1">
      <c r="A54" s="9">
        <v>332</v>
      </c>
      <c r="B54" s="198"/>
      <c r="C54" s="4" t="s">
        <v>17</v>
      </c>
      <c r="D54" s="74" t="s">
        <v>93</v>
      </c>
      <c r="E54" s="162">
        <v>120</v>
      </c>
      <c r="F54" s="4">
        <v>17.149999999999999</v>
      </c>
      <c r="G54" s="4">
        <v>7.42</v>
      </c>
      <c r="H54" s="4">
        <v>0.82</v>
      </c>
      <c r="I54" s="94">
        <v>138</v>
      </c>
      <c r="J54" s="96">
        <v>0.06</v>
      </c>
      <c r="K54" s="96">
        <v>0.47</v>
      </c>
      <c r="L54" s="96"/>
      <c r="M54" s="96">
        <v>43.64</v>
      </c>
      <c r="N54" s="96"/>
      <c r="O54" s="27"/>
      <c r="P54" s="96">
        <v>14.55</v>
      </c>
      <c r="Q54" s="96">
        <v>197.82</v>
      </c>
      <c r="R54" s="96">
        <v>41.65</v>
      </c>
      <c r="S54" s="96">
        <v>0.82</v>
      </c>
    </row>
    <row r="55" spans="1:19" ht="31.5" customHeight="1" thickBot="1">
      <c r="A55" s="9">
        <v>414</v>
      </c>
      <c r="B55" s="198"/>
      <c r="C55" s="46" t="s">
        <v>18</v>
      </c>
      <c r="D55" s="73"/>
      <c r="E55" s="162">
        <v>200</v>
      </c>
      <c r="F55" s="4">
        <v>4.9000000000000004</v>
      </c>
      <c r="G55" s="4">
        <v>8.1</v>
      </c>
      <c r="H55" s="4">
        <v>45.1</v>
      </c>
      <c r="I55" s="4">
        <v>273</v>
      </c>
      <c r="J55" s="38">
        <v>0.04</v>
      </c>
      <c r="K55" s="38">
        <v>0</v>
      </c>
      <c r="L55" s="38">
        <v>0</v>
      </c>
      <c r="M55" s="38">
        <v>0.05</v>
      </c>
      <c r="N55" s="38">
        <v>0.4</v>
      </c>
      <c r="P55" s="36">
        <v>6.8</v>
      </c>
      <c r="Q55" s="36">
        <v>94.4</v>
      </c>
      <c r="R55" s="36">
        <v>30.4</v>
      </c>
      <c r="S55" s="36">
        <v>0.7</v>
      </c>
    </row>
    <row r="56" spans="1:19" ht="31.5" customHeight="1" thickBot="1">
      <c r="A56" s="9">
        <v>109</v>
      </c>
      <c r="B56" s="198"/>
      <c r="C56" s="145" t="s">
        <v>11</v>
      </c>
      <c r="D56" s="125" t="s">
        <v>68</v>
      </c>
      <c r="E56" s="162">
        <v>50</v>
      </c>
      <c r="F56" s="145">
        <v>3.3</v>
      </c>
      <c r="G56" s="145">
        <v>0.6</v>
      </c>
      <c r="H56" s="145">
        <v>16.7</v>
      </c>
      <c r="I56" s="145">
        <v>87</v>
      </c>
      <c r="J56" s="144">
        <v>0.9</v>
      </c>
      <c r="K56" s="144">
        <v>0.02</v>
      </c>
      <c r="L56" s="144"/>
      <c r="M56" s="144"/>
      <c r="N56" s="144">
        <v>0.7</v>
      </c>
      <c r="O56" s="146"/>
      <c r="P56" s="144">
        <v>35</v>
      </c>
      <c r="Q56" s="144">
        <v>158</v>
      </c>
      <c r="R56" s="144">
        <v>47</v>
      </c>
      <c r="S56" s="39">
        <v>3.9</v>
      </c>
    </row>
    <row r="57" spans="1:19" ht="19.5" customHeight="1" thickBot="1">
      <c r="A57" s="9">
        <v>382</v>
      </c>
      <c r="B57" s="198"/>
      <c r="C57" s="4" t="s">
        <v>19</v>
      </c>
      <c r="D57" s="74"/>
      <c r="E57" s="162">
        <v>200</v>
      </c>
      <c r="F57" s="40">
        <v>4.08</v>
      </c>
      <c r="G57" s="40">
        <v>3.54</v>
      </c>
      <c r="H57" s="40">
        <v>17.579999999999998</v>
      </c>
      <c r="I57" s="40">
        <v>119</v>
      </c>
      <c r="J57" s="40">
        <v>0.06</v>
      </c>
      <c r="K57" s="40">
        <v>1.59</v>
      </c>
      <c r="L57" s="40">
        <v>0</v>
      </c>
      <c r="M57" s="40">
        <v>24.4</v>
      </c>
      <c r="N57" s="40"/>
      <c r="P57" s="40">
        <v>152.22</v>
      </c>
      <c r="Q57" s="40">
        <v>124.56</v>
      </c>
      <c r="R57" s="16">
        <v>21.34</v>
      </c>
      <c r="S57" s="39">
        <v>0.48</v>
      </c>
    </row>
    <row r="58" spans="1:19" ht="16.5" thickBot="1">
      <c r="B58" s="199"/>
      <c r="C58" s="45" t="s">
        <v>71</v>
      </c>
      <c r="D58" s="74"/>
      <c r="E58" s="162">
        <v>100</v>
      </c>
      <c r="F58" s="67">
        <v>0.4</v>
      </c>
      <c r="G58" s="67">
        <v>0.3</v>
      </c>
      <c r="H58" s="67">
        <v>10.3</v>
      </c>
      <c r="I58" s="67">
        <v>47</v>
      </c>
      <c r="J58" s="68">
        <v>0.02</v>
      </c>
      <c r="K58" s="67">
        <v>0.03</v>
      </c>
      <c r="L58" s="67">
        <v>5</v>
      </c>
      <c r="M58" s="67"/>
      <c r="N58" s="67"/>
      <c r="P58" s="67">
        <v>19</v>
      </c>
      <c r="Q58" s="67">
        <v>16</v>
      </c>
      <c r="R58" s="67">
        <v>12</v>
      </c>
      <c r="S58" s="67">
        <v>2.2999999999999998</v>
      </c>
    </row>
    <row r="59" spans="1:19" ht="16.5" thickBot="1">
      <c r="B59" s="1"/>
      <c r="C59" s="14" t="s">
        <v>47</v>
      </c>
      <c r="D59" s="32"/>
      <c r="E59" s="167">
        <v>970</v>
      </c>
      <c r="F59" s="75">
        <f>F49+F52+F54+F55+F56+F57+F58+F51</f>
        <v>38.039999999999992</v>
      </c>
      <c r="G59" s="75">
        <f t="shared" ref="G59:S59" si="8">G49+G52+G54+G55+G56+G57+G58+G51</f>
        <v>29.17</v>
      </c>
      <c r="H59" s="75">
        <f t="shared" si="8"/>
        <v>104.8</v>
      </c>
      <c r="I59" s="75">
        <f t="shared" si="8"/>
        <v>837.6</v>
      </c>
      <c r="J59" s="75">
        <f t="shared" si="8"/>
        <v>1.1700000000000002</v>
      </c>
      <c r="K59" s="75">
        <f t="shared" si="8"/>
        <v>15.15</v>
      </c>
      <c r="L59" s="75">
        <f t="shared" si="8"/>
        <v>5</v>
      </c>
      <c r="M59" s="75">
        <f t="shared" si="8"/>
        <v>78.09</v>
      </c>
      <c r="N59" s="75">
        <f t="shared" si="8"/>
        <v>3.5</v>
      </c>
      <c r="O59" s="75"/>
      <c r="P59" s="75">
        <f t="shared" si="8"/>
        <v>285.02000000000004</v>
      </c>
      <c r="Q59" s="75">
        <f t="shared" si="8"/>
        <v>697.86</v>
      </c>
      <c r="R59" s="75">
        <f t="shared" si="8"/>
        <v>188.48</v>
      </c>
      <c r="S59" s="75">
        <f t="shared" si="8"/>
        <v>9.9599999999999991</v>
      </c>
    </row>
    <row r="60" spans="1:19" ht="16.5" thickBot="1">
      <c r="B60" s="1"/>
      <c r="C60" s="15" t="s">
        <v>48</v>
      </c>
      <c r="D60" s="34"/>
      <c r="E60" s="172">
        <v>1020</v>
      </c>
      <c r="F60" s="17">
        <f>F50+F53+F54+F55+F56+F57+F58+F51</f>
        <v>39.899999999999991</v>
      </c>
      <c r="G60" s="17">
        <f t="shared" ref="G60:S60" si="9">G50+G53+G54+G55+G56+G57+G58+G51</f>
        <v>31.46</v>
      </c>
      <c r="H60" s="17">
        <f t="shared" si="9"/>
        <v>123.91000000000001</v>
      </c>
      <c r="I60" s="17">
        <f t="shared" si="9"/>
        <v>878.6</v>
      </c>
      <c r="J60" s="17">
        <f t="shared" si="9"/>
        <v>1.1800000000000002</v>
      </c>
      <c r="K60" s="17">
        <f t="shared" si="9"/>
        <v>17.809999999999999</v>
      </c>
      <c r="L60" s="17">
        <f t="shared" si="9"/>
        <v>5</v>
      </c>
      <c r="M60" s="17">
        <f t="shared" si="9"/>
        <v>80.59</v>
      </c>
      <c r="N60" s="17">
        <f t="shared" si="9"/>
        <v>4.0999999999999996</v>
      </c>
      <c r="O60" s="17"/>
      <c r="P60" s="17">
        <f t="shared" si="9"/>
        <v>298.18</v>
      </c>
      <c r="Q60" s="17">
        <f t="shared" si="9"/>
        <v>720.91</v>
      </c>
      <c r="R60" s="17">
        <f t="shared" si="9"/>
        <v>196.24</v>
      </c>
      <c r="S60" s="17">
        <f t="shared" si="9"/>
        <v>10.35</v>
      </c>
    </row>
    <row r="61" spans="1:19" ht="16.5" thickBot="1">
      <c r="B61" s="232" t="s">
        <v>46</v>
      </c>
      <c r="C61" s="14" t="s">
        <v>47</v>
      </c>
      <c r="D61" s="34"/>
      <c r="E61" s="13"/>
      <c r="F61" s="18">
        <f t="shared" ref="F61:K61" si="10">F47+F59</f>
        <v>55.509999999999991</v>
      </c>
      <c r="G61" s="18">
        <f t="shared" si="10"/>
        <v>47.35</v>
      </c>
      <c r="H61" s="18">
        <f t="shared" si="10"/>
        <v>186.68</v>
      </c>
      <c r="I61" s="18">
        <f t="shared" si="10"/>
        <v>1398.8000000000002</v>
      </c>
      <c r="J61" s="18">
        <f t="shared" si="10"/>
        <v>1.35</v>
      </c>
      <c r="K61" s="18">
        <f t="shared" si="10"/>
        <v>19.417999999999999</v>
      </c>
      <c r="L61" s="18" t="s">
        <v>95</v>
      </c>
      <c r="M61" s="18">
        <f>M47+M59</f>
        <v>78.27000000000001</v>
      </c>
      <c r="N61" s="18">
        <f>N47+N59</f>
        <v>5.48</v>
      </c>
      <c r="O61" s="18"/>
      <c r="P61" s="18">
        <f>P47+P59</f>
        <v>473.22</v>
      </c>
      <c r="Q61" s="18">
        <f>Q47+Q59</f>
        <v>954.66000000000008</v>
      </c>
      <c r="R61" s="18">
        <f>R47+R59</f>
        <v>226.67999999999998</v>
      </c>
      <c r="S61" s="18">
        <f>S47+S59</f>
        <v>12.579999999999998</v>
      </c>
    </row>
    <row r="62" spans="1:19" ht="16.5" thickBot="1">
      <c r="B62" s="233"/>
      <c r="C62" s="15" t="s">
        <v>48</v>
      </c>
      <c r="D62" s="33"/>
      <c r="E62" s="13"/>
      <c r="F62" s="18">
        <f t="shared" ref="F62:N62" si="11">F60+F48</f>
        <v>59.309999999999988</v>
      </c>
      <c r="G62" s="18">
        <f t="shared" si="11"/>
        <v>52.599999999999994</v>
      </c>
      <c r="H62" s="18">
        <f t="shared" si="11"/>
        <v>214.68</v>
      </c>
      <c r="I62" s="18">
        <f t="shared" si="11"/>
        <v>1509.8000000000002</v>
      </c>
      <c r="J62" s="18">
        <f t="shared" si="11"/>
        <v>1.3900000000000001</v>
      </c>
      <c r="K62" s="18">
        <f t="shared" si="11"/>
        <v>22.437999999999999</v>
      </c>
      <c r="L62" s="18">
        <f t="shared" si="11"/>
        <v>5</v>
      </c>
      <c r="M62" s="18">
        <f t="shared" si="11"/>
        <v>80.790000000000006</v>
      </c>
      <c r="N62" s="18">
        <f t="shared" si="11"/>
        <v>6.27</v>
      </c>
      <c r="O62" s="18"/>
      <c r="P62" s="18">
        <f>P60+P48</f>
        <v>521.53</v>
      </c>
      <c r="Q62" s="18">
        <f>Q60+Q48</f>
        <v>1011.81</v>
      </c>
      <c r="R62" s="18">
        <f>R60+R48</f>
        <v>240.19</v>
      </c>
      <c r="S62" s="18">
        <f>S60+S48</f>
        <v>13.11</v>
      </c>
    </row>
    <row r="63" spans="1:19" ht="16.5" thickBot="1">
      <c r="B63" s="222" t="s">
        <v>20</v>
      </c>
      <c r="C63" s="186"/>
      <c r="D63" s="186"/>
      <c r="E63" s="186"/>
      <c r="F63" s="186"/>
      <c r="G63" s="186"/>
      <c r="H63" s="186"/>
      <c r="I63" s="188"/>
      <c r="J63" s="16"/>
      <c r="K63" s="16"/>
      <c r="L63" s="16"/>
      <c r="M63" s="16"/>
      <c r="N63" s="16"/>
      <c r="O63" s="47"/>
      <c r="P63" s="16"/>
      <c r="Q63" s="16"/>
      <c r="R63" s="16"/>
    </row>
    <row r="64" spans="1:19" ht="48" thickBot="1">
      <c r="A64" s="9">
        <v>3</v>
      </c>
      <c r="B64" s="197" t="s">
        <v>6</v>
      </c>
      <c r="C64" s="4" t="s">
        <v>21</v>
      </c>
      <c r="D64" s="48" t="s">
        <v>72</v>
      </c>
      <c r="E64" s="162">
        <v>75</v>
      </c>
      <c r="F64" s="36">
        <v>5.8</v>
      </c>
      <c r="G64" s="36">
        <v>8.3000000000000007</v>
      </c>
      <c r="H64" s="36">
        <v>14.83</v>
      </c>
      <c r="I64" s="37">
        <v>157</v>
      </c>
      <c r="J64" s="52">
        <v>0.04</v>
      </c>
      <c r="K64" s="52">
        <f>0.3*80/100</f>
        <v>0.24</v>
      </c>
      <c r="L64" s="52">
        <v>0.11</v>
      </c>
      <c r="M64" s="53">
        <v>59</v>
      </c>
      <c r="N64" s="58"/>
      <c r="O64" s="27"/>
      <c r="P64" s="64">
        <v>139.19999999999999</v>
      </c>
      <c r="Q64" s="53">
        <v>96</v>
      </c>
      <c r="R64" s="53">
        <v>9.4499999999999993</v>
      </c>
      <c r="S64" s="53">
        <v>0.49</v>
      </c>
    </row>
    <row r="65" spans="1:19" ht="16.5" thickBot="1">
      <c r="A65" s="9">
        <v>171</v>
      </c>
      <c r="B65" s="198"/>
      <c r="C65" s="190" t="s">
        <v>74</v>
      </c>
      <c r="D65" s="73" t="s">
        <v>47</v>
      </c>
      <c r="E65" s="165">
        <v>200</v>
      </c>
      <c r="F65" s="36">
        <v>11.06</v>
      </c>
      <c r="G65" s="36">
        <v>11.9</v>
      </c>
      <c r="H65" s="36">
        <v>49.8</v>
      </c>
      <c r="I65" s="37">
        <v>350</v>
      </c>
      <c r="J65" s="38">
        <v>0.26</v>
      </c>
      <c r="K65" s="40">
        <v>0</v>
      </c>
      <c r="L65" s="40">
        <v>0</v>
      </c>
      <c r="M65" s="40">
        <v>50</v>
      </c>
      <c r="N65" s="40"/>
      <c r="P65" s="40">
        <v>32.979999999999997</v>
      </c>
      <c r="Q65" s="40">
        <v>263</v>
      </c>
      <c r="R65" s="40">
        <v>175.6</v>
      </c>
      <c r="S65" s="40">
        <v>5.9</v>
      </c>
    </row>
    <row r="66" spans="1:19" ht="32.25" thickBot="1">
      <c r="B66" s="198"/>
      <c r="C66" s="191"/>
      <c r="D66" s="48" t="s">
        <v>51</v>
      </c>
      <c r="E66" s="162">
        <v>250</v>
      </c>
      <c r="F66" s="36">
        <v>14</v>
      </c>
      <c r="G66" s="36">
        <v>18</v>
      </c>
      <c r="H66" s="36">
        <v>68.8</v>
      </c>
      <c r="I66" s="37">
        <v>505.5</v>
      </c>
      <c r="J66" s="40">
        <v>0.2</v>
      </c>
      <c r="K66" s="40">
        <v>0</v>
      </c>
      <c r="L66" s="40"/>
      <c r="M66" s="40"/>
      <c r="N66" s="40"/>
      <c r="O66" s="50"/>
      <c r="P66" s="40">
        <v>30</v>
      </c>
      <c r="Q66" s="40">
        <v>180</v>
      </c>
      <c r="R66" s="40">
        <v>122.2</v>
      </c>
      <c r="S66" s="40">
        <v>4</v>
      </c>
    </row>
    <row r="67" spans="1:19" ht="35.25" customHeight="1" thickBot="1">
      <c r="A67" s="9">
        <v>376</v>
      </c>
      <c r="B67" s="199"/>
      <c r="C67" s="4" t="s">
        <v>22</v>
      </c>
      <c r="D67" s="48" t="s">
        <v>72</v>
      </c>
      <c r="E67" s="162">
        <v>200</v>
      </c>
      <c r="F67" s="40">
        <v>0.4</v>
      </c>
      <c r="G67" s="40"/>
      <c r="H67" s="40">
        <v>37.799999999999997</v>
      </c>
      <c r="I67" s="40">
        <v>113</v>
      </c>
      <c r="J67" s="40">
        <v>0</v>
      </c>
      <c r="K67" s="40">
        <v>0.4</v>
      </c>
      <c r="L67" s="40">
        <v>0</v>
      </c>
      <c r="M67" s="40">
        <v>0</v>
      </c>
      <c r="N67" s="40"/>
      <c r="P67" s="40">
        <v>31.8</v>
      </c>
      <c r="Q67" s="40">
        <v>15.4</v>
      </c>
      <c r="R67" s="40">
        <v>6</v>
      </c>
      <c r="S67" s="40">
        <v>1.2</v>
      </c>
    </row>
    <row r="68" spans="1:19" s="111" customFormat="1" ht="35.25" customHeight="1" thickBot="1">
      <c r="B68" s="176"/>
      <c r="C68" s="177" t="s">
        <v>96</v>
      </c>
      <c r="D68" s="73" t="s">
        <v>97</v>
      </c>
      <c r="E68" s="165">
        <v>30</v>
      </c>
      <c r="F68" s="179">
        <v>1.5</v>
      </c>
      <c r="G68" s="179">
        <v>0.9</v>
      </c>
      <c r="H68" s="179">
        <v>19.5</v>
      </c>
      <c r="I68" s="179">
        <v>90</v>
      </c>
      <c r="J68" s="178">
        <v>0.03</v>
      </c>
      <c r="K68" s="178">
        <v>0.01</v>
      </c>
      <c r="L68" s="178">
        <v>0</v>
      </c>
      <c r="M68" s="178">
        <v>0.8</v>
      </c>
      <c r="N68" s="178">
        <v>0</v>
      </c>
      <c r="O68" s="27"/>
      <c r="P68" s="178">
        <v>3.7</v>
      </c>
      <c r="Q68" s="178">
        <v>17</v>
      </c>
      <c r="R68" s="178">
        <v>3</v>
      </c>
      <c r="S68" s="178">
        <v>0.3</v>
      </c>
    </row>
    <row r="69" spans="1:19" ht="17.25" customHeight="1" thickBot="1">
      <c r="A69" s="111"/>
      <c r="B69" s="5"/>
      <c r="C69" s="14" t="s">
        <v>47</v>
      </c>
      <c r="D69" s="14"/>
      <c r="E69" s="162">
        <v>505</v>
      </c>
      <c r="F69" s="12">
        <v>18.8</v>
      </c>
      <c r="G69" s="12">
        <v>21.1</v>
      </c>
      <c r="H69" s="12">
        <f>H64+H65+H67</f>
        <v>102.42999999999999</v>
      </c>
      <c r="I69" s="12">
        <v>710</v>
      </c>
      <c r="J69" s="12">
        <f>J64+J65+J67</f>
        <v>0.3</v>
      </c>
      <c r="K69" s="12">
        <f>K64+K65+K67</f>
        <v>0.64</v>
      </c>
      <c r="L69" s="12">
        <f>L64+L65+L67</f>
        <v>0.11</v>
      </c>
      <c r="M69" s="12">
        <f>M64+M65+M67</f>
        <v>109</v>
      </c>
      <c r="N69" s="12">
        <f>N64+N65+N67</f>
        <v>0</v>
      </c>
      <c r="O69" s="12"/>
      <c r="P69" s="12">
        <f>P64+P65+P67</f>
        <v>203.98</v>
      </c>
      <c r="Q69" s="12">
        <f>Q64+Q65+Q67</f>
        <v>374.4</v>
      </c>
      <c r="R69" s="12">
        <f>R64+R65+R67</f>
        <v>191.04999999999998</v>
      </c>
      <c r="S69" s="12">
        <f>S64+S65+S67</f>
        <v>7.5900000000000007</v>
      </c>
    </row>
    <row r="70" spans="1:19" ht="18" customHeight="1" thickBot="1">
      <c r="B70" s="5"/>
      <c r="C70" s="15" t="s">
        <v>48</v>
      </c>
      <c r="D70" s="15"/>
      <c r="E70" s="162">
        <v>555</v>
      </c>
      <c r="F70" s="4">
        <v>21.7</v>
      </c>
      <c r="G70" s="4">
        <v>27.2</v>
      </c>
      <c r="H70" s="4">
        <f>H64+H66+H67</f>
        <v>121.42999999999999</v>
      </c>
      <c r="I70" s="4">
        <v>865.5</v>
      </c>
      <c r="J70" s="48">
        <f>J64+J66+J67</f>
        <v>0.24000000000000002</v>
      </c>
      <c r="K70" s="48">
        <f>K64+K66+K67</f>
        <v>0.64</v>
      </c>
      <c r="L70" s="48">
        <f>L64+L66+L67</f>
        <v>0.11</v>
      </c>
      <c r="M70" s="48">
        <f>M64+M66+M67</f>
        <v>59</v>
      </c>
      <c r="N70" s="48">
        <f>N64+N66+N67</f>
        <v>0</v>
      </c>
      <c r="O70" s="48"/>
      <c r="P70" s="48">
        <f>P64+P66+P67</f>
        <v>201</v>
      </c>
      <c r="Q70" s="48">
        <f>Q64+Q66+Q67</f>
        <v>291.39999999999998</v>
      </c>
      <c r="R70" s="48">
        <f>R64+R66+R67</f>
        <v>137.65</v>
      </c>
      <c r="S70" s="48">
        <f>S64+S66+S67</f>
        <v>5.69</v>
      </c>
    </row>
    <row r="71" spans="1:19" ht="24.75" customHeight="1" thickBot="1">
      <c r="A71" s="9">
        <v>106</v>
      </c>
      <c r="B71" s="197" t="s">
        <v>23</v>
      </c>
      <c r="C71" s="190" t="s">
        <v>142</v>
      </c>
      <c r="D71" s="73" t="s">
        <v>50</v>
      </c>
      <c r="E71" s="180">
        <v>100</v>
      </c>
      <c r="F71" s="180">
        <v>1.1000000000000001</v>
      </c>
      <c r="G71" s="180">
        <v>0.2</v>
      </c>
      <c r="H71" s="180">
        <v>3.8</v>
      </c>
      <c r="I71" s="180">
        <v>24</v>
      </c>
      <c r="J71" s="40">
        <v>0.06</v>
      </c>
      <c r="K71" s="40">
        <v>25</v>
      </c>
      <c r="L71" s="40">
        <v>0</v>
      </c>
      <c r="M71" s="40">
        <v>0</v>
      </c>
      <c r="N71" s="40">
        <v>0.7</v>
      </c>
      <c r="O71" s="111"/>
      <c r="P71" s="40">
        <v>14</v>
      </c>
      <c r="Q71" s="40">
        <v>26</v>
      </c>
      <c r="R71" s="37">
        <v>20</v>
      </c>
      <c r="S71" s="37">
        <v>0.9</v>
      </c>
    </row>
    <row r="72" spans="1:19" ht="24.75" customHeight="1" thickBot="1">
      <c r="B72" s="198"/>
      <c r="C72" s="191"/>
      <c r="D72" s="180" t="s">
        <v>51</v>
      </c>
      <c r="E72" s="180">
        <v>100</v>
      </c>
      <c r="F72" s="180">
        <v>1.1000000000000001</v>
      </c>
      <c r="G72" s="180">
        <v>0.2</v>
      </c>
      <c r="H72" s="180">
        <v>3.8</v>
      </c>
      <c r="I72" s="180">
        <v>24</v>
      </c>
      <c r="J72" s="40">
        <v>0.06</v>
      </c>
      <c r="K72" s="40">
        <v>25</v>
      </c>
      <c r="L72" s="40">
        <v>0</v>
      </c>
      <c r="M72" s="40">
        <v>0</v>
      </c>
      <c r="N72" s="40">
        <v>0.7</v>
      </c>
      <c r="O72" s="111"/>
      <c r="P72" s="40">
        <v>14</v>
      </c>
      <c r="Q72" s="40">
        <v>26</v>
      </c>
      <c r="R72" s="37">
        <v>20</v>
      </c>
      <c r="S72" s="37">
        <v>0.9</v>
      </c>
    </row>
    <row r="73" spans="1:19" ht="25.5" customHeight="1" thickBot="1">
      <c r="A73" s="9">
        <v>76</v>
      </c>
      <c r="B73" s="198"/>
      <c r="C73" s="190" t="s">
        <v>121</v>
      </c>
      <c r="D73" s="73" t="s">
        <v>50</v>
      </c>
      <c r="E73" s="165">
        <v>200</v>
      </c>
      <c r="F73" s="6">
        <v>7.33</v>
      </c>
      <c r="G73" s="6">
        <v>8.34</v>
      </c>
      <c r="H73" s="6">
        <v>13.27</v>
      </c>
      <c r="I73" s="6">
        <v>158</v>
      </c>
      <c r="J73" s="16">
        <v>0.09</v>
      </c>
      <c r="K73" s="16">
        <v>6.38</v>
      </c>
      <c r="L73" s="16">
        <v>0</v>
      </c>
      <c r="M73" s="16">
        <v>10</v>
      </c>
      <c r="N73" s="16">
        <v>0</v>
      </c>
      <c r="O73" s="47"/>
      <c r="P73" s="16">
        <v>29.45</v>
      </c>
      <c r="Q73" s="16">
        <v>96.6</v>
      </c>
      <c r="R73" s="16">
        <v>25.45</v>
      </c>
      <c r="S73" s="39">
        <v>1.18</v>
      </c>
    </row>
    <row r="74" spans="1:19" ht="32.25" customHeight="1" thickBot="1">
      <c r="B74" s="198"/>
      <c r="C74" s="191"/>
      <c r="D74" s="48" t="s">
        <v>51</v>
      </c>
      <c r="E74" s="162">
        <v>250</v>
      </c>
      <c r="F74" s="6">
        <v>7.75</v>
      </c>
      <c r="G74" s="6">
        <v>9.3699999999999992</v>
      </c>
      <c r="H74" s="6">
        <v>16.59</v>
      </c>
      <c r="I74" s="6">
        <v>182</v>
      </c>
      <c r="J74" s="16">
        <v>0.1</v>
      </c>
      <c r="K74" s="16">
        <v>7.89</v>
      </c>
      <c r="L74" s="16">
        <v>0</v>
      </c>
      <c r="M74" s="16">
        <v>10</v>
      </c>
      <c r="N74" s="16">
        <v>0</v>
      </c>
      <c r="O74" s="47"/>
      <c r="P74" s="16">
        <v>34.75</v>
      </c>
      <c r="Q74" s="16">
        <v>111</v>
      </c>
      <c r="R74" s="16">
        <v>30.65</v>
      </c>
      <c r="S74" s="39">
        <v>1.37</v>
      </c>
    </row>
    <row r="75" spans="1:19" ht="31.5" customHeight="1" thickBot="1">
      <c r="A75" s="9">
        <v>268</v>
      </c>
      <c r="B75" s="198"/>
      <c r="C75" s="139" t="s">
        <v>106</v>
      </c>
      <c r="D75" s="48" t="s">
        <v>72</v>
      </c>
      <c r="E75" s="162">
        <v>100</v>
      </c>
      <c r="F75" s="36">
        <v>15</v>
      </c>
      <c r="G75" s="36">
        <v>22</v>
      </c>
      <c r="H75" s="36">
        <v>13.02</v>
      </c>
      <c r="I75" s="37">
        <v>312.73</v>
      </c>
      <c r="J75" s="38">
        <v>7.0000000000000007E-2</v>
      </c>
      <c r="K75" s="38">
        <v>0.31</v>
      </c>
      <c r="L75" s="38"/>
      <c r="M75" s="38">
        <v>40.729999999999997</v>
      </c>
      <c r="N75" s="38">
        <v>0</v>
      </c>
      <c r="P75" s="36">
        <v>39.22</v>
      </c>
      <c r="Q75" s="36">
        <v>171.64</v>
      </c>
      <c r="R75" s="36">
        <v>50.71</v>
      </c>
      <c r="S75" s="36">
        <v>2.5499999999999998</v>
      </c>
    </row>
    <row r="76" spans="1:19" ht="23.25" customHeight="1" thickBot="1">
      <c r="A76" s="9">
        <v>125</v>
      </c>
      <c r="B76" s="198"/>
      <c r="C76" s="190" t="s">
        <v>80</v>
      </c>
      <c r="D76" s="73" t="s">
        <v>47</v>
      </c>
      <c r="E76" s="165">
        <v>200</v>
      </c>
      <c r="F76" s="40">
        <v>3.94</v>
      </c>
      <c r="G76" s="40">
        <v>7.73</v>
      </c>
      <c r="H76" s="40">
        <v>27.13</v>
      </c>
      <c r="I76" s="37">
        <v>205</v>
      </c>
      <c r="J76" s="40">
        <v>0.21</v>
      </c>
      <c r="K76" s="40">
        <v>28.15</v>
      </c>
      <c r="L76" s="40">
        <f>14.5*180/100</f>
        <v>26.1</v>
      </c>
      <c r="M76" s="40">
        <v>20</v>
      </c>
      <c r="N76" s="40"/>
      <c r="P76" s="40">
        <v>26.67</v>
      </c>
      <c r="Q76" s="40">
        <v>108.92</v>
      </c>
      <c r="R76" s="40">
        <v>39.67</v>
      </c>
      <c r="S76" s="40">
        <v>1.6</v>
      </c>
    </row>
    <row r="77" spans="1:19" ht="32.25" customHeight="1" thickBot="1">
      <c r="B77" s="198"/>
      <c r="C77" s="191"/>
      <c r="D77" s="74" t="s">
        <v>51</v>
      </c>
      <c r="E77" s="162">
        <v>200</v>
      </c>
      <c r="F77" s="40">
        <v>3.94</v>
      </c>
      <c r="G77" s="40">
        <v>7.73</v>
      </c>
      <c r="H77" s="40">
        <v>27.13</v>
      </c>
      <c r="I77" s="37">
        <v>205</v>
      </c>
      <c r="J77" s="40">
        <v>0.21</v>
      </c>
      <c r="K77" s="40">
        <v>28.15</v>
      </c>
      <c r="L77" s="40">
        <f>14.5*180/100</f>
        <v>26.1</v>
      </c>
      <c r="M77" s="40">
        <v>20</v>
      </c>
      <c r="N77" s="40"/>
      <c r="O77" s="111"/>
      <c r="P77" s="40">
        <v>26.67</v>
      </c>
      <c r="Q77" s="40">
        <v>108.92</v>
      </c>
      <c r="R77" s="40">
        <v>39.67</v>
      </c>
      <c r="S77" s="40">
        <v>1.6</v>
      </c>
    </row>
    <row r="78" spans="1:19" ht="34.5" customHeight="1" thickBot="1">
      <c r="A78" s="9">
        <v>376</v>
      </c>
      <c r="B78" s="198"/>
      <c r="C78" s="145" t="s">
        <v>8</v>
      </c>
      <c r="D78" s="145" t="s">
        <v>54</v>
      </c>
      <c r="E78" s="162">
        <v>200</v>
      </c>
      <c r="F78" s="145">
        <v>7.0000000000000007E-2</v>
      </c>
      <c r="G78" s="145">
        <v>0.02</v>
      </c>
      <c r="H78" s="145">
        <v>15</v>
      </c>
      <c r="I78" s="143">
        <v>60</v>
      </c>
      <c r="J78" s="146"/>
      <c r="K78" s="146"/>
      <c r="L78" s="146">
        <v>0.03</v>
      </c>
      <c r="M78" s="146"/>
      <c r="N78" s="57"/>
      <c r="O78" s="146"/>
      <c r="P78" s="63">
        <v>11.1</v>
      </c>
      <c r="Q78" s="146">
        <v>2.8</v>
      </c>
      <c r="R78" s="146">
        <v>1.4</v>
      </c>
      <c r="S78" s="54">
        <v>0.28000000000000003</v>
      </c>
    </row>
    <row r="79" spans="1:19" ht="31.5" customHeight="1" thickBot="1">
      <c r="A79" s="9">
        <v>109</v>
      </c>
      <c r="B79" s="199"/>
      <c r="C79" s="145" t="s">
        <v>11</v>
      </c>
      <c r="D79" s="125" t="s">
        <v>68</v>
      </c>
      <c r="E79" s="162">
        <v>50</v>
      </c>
      <c r="F79" s="145">
        <v>3.3</v>
      </c>
      <c r="G79" s="145">
        <v>0.6</v>
      </c>
      <c r="H79" s="145">
        <v>16.7</v>
      </c>
      <c r="I79" s="145">
        <v>87</v>
      </c>
      <c r="J79" s="144">
        <v>0.9</v>
      </c>
      <c r="K79" s="144">
        <v>0.02</v>
      </c>
      <c r="L79" s="144"/>
      <c r="M79" s="144"/>
      <c r="N79" s="144">
        <v>0.7</v>
      </c>
      <c r="O79" s="146"/>
      <c r="P79" s="144">
        <v>35</v>
      </c>
      <c r="Q79" s="144">
        <v>158</v>
      </c>
      <c r="R79" s="144">
        <v>47</v>
      </c>
      <c r="S79" s="39">
        <v>3.9</v>
      </c>
    </row>
    <row r="80" spans="1:19" ht="18.75" customHeight="1" thickBot="1">
      <c r="B80" s="1"/>
      <c r="C80" s="14" t="s">
        <v>47</v>
      </c>
      <c r="D80" s="32"/>
      <c r="E80" s="167">
        <v>850</v>
      </c>
      <c r="F80" s="75">
        <f>F71+F73+F75+F76+F78+F79</f>
        <v>30.740000000000002</v>
      </c>
      <c r="G80" s="75">
        <f>G71+G73+G75+G76+G78+G79</f>
        <v>38.89</v>
      </c>
      <c r="H80" s="75">
        <f>H71+H73+H75+H76+H78+H79</f>
        <v>88.92</v>
      </c>
      <c r="I80" s="78">
        <f>I71+I73+I75+I76+I78+I79</f>
        <v>846.73</v>
      </c>
      <c r="J80" s="80">
        <f t="shared" ref="J80:S80" si="12">J71+J73+J75+J76+J78+J79</f>
        <v>1.33</v>
      </c>
      <c r="K80" s="80">
        <f t="shared" si="12"/>
        <v>59.86</v>
      </c>
      <c r="L80" s="80">
        <f t="shared" si="12"/>
        <v>26.130000000000003</v>
      </c>
      <c r="M80" s="80">
        <f t="shared" si="12"/>
        <v>70.72999999999999</v>
      </c>
      <c r="N80" s="80">
        <f t="shared" si="12"/>
        <v>1.4</v>
      </c>
      <c r="O80" s="80"/>
      <c r="P80" s="80">
        <f t="shared" si="12"/>
        <v>155.44</v>
      </c>
      <c r="Q80" s="113">
        <f t="shared" si="12"/>
        <v>563.96</v>
      </c>
      <c r="R80" s="113">
        <f t="shared" si="12"/>
        <v>184.23</v>
      </c>
      <c r="S80" s="80">
        <f t="shared" si="12"/>
        <v>10.41</v>
      </c>
    </row>
    <row r="81" spans="1:22" ht="15.75" customHeight="1" thickBot="1">
      <c r="B81" s="1"/>
      <c r="C81" s="15" t="s">
        <v>48</v>
      </c>
      <c r="D81" s="33"/>
      <c r="E81" s="172">
        <v>900</v>
      </c>
      <c r="F81" s="17">
        <f>F72+F74+F75+F77+F78+F79</f>
        <v>31.160000000000004</v>
      </c>
      <c r="G81" s="17">
        <f>G72+G74+G75+G77+G78+G79</f>
        <v>39.92</v>
      </c>
      <c r="H81" s="17">
        <f>H72+H74+H75+H77+H78+H79</f>
        <v>92.24</v>
      </c>
      <c r="I81" s="17">
        <f>I72+I74+I75+I77+I78+I79</f>
        <v>870.73</v>
      </c>
      <c r="J81" s="17">
        <f t="shared" ref="J81:S81" si="13">J72+J74+J75+J77+J78+J79</f>
        <v>1.34</v>
      </c>
      <c r="K81" s="17">
        <f t="shared" si="13"/>
        <v>61.370000000000005</v>
      </c>
      <c r="L81" s="17">
        <f t="shared" si="13"/>
        <v>26.130000000000003</v>
      </c>
      <c r="M81" s="17">
        <f t="shared" si="13"/>
        <v>70.72999999999999</v>
      </c>
      <c r="N81" s="17">
        <f t="shared" si="13"/>
        <v>1.4</v>
      </c>
      <c r="O81" s="17"/>
      <c r="P81" s="17">
        <f t="shared" si="13"/>
        <v>160.74</v>
      </c>
      <c r="Q81" s="17">
        <f t="shared" si="13"/>
        <v>578.36</v>
      </c>
      <c r="R81" s="17">
        <f t="shared" si="13"/>
        <v>189.43</v>
      </c>
      <c r="S81" s="17">
        <f t="shared" si="13"/>
        <v>10.6</v>
      </c>
    </row>
    <row r="82" spans="1:22" ht="18.75" customHeight="1" thickBot="1">
      <c r="B82" s="10"/>
      <c r="C82" s="226" t="s">
        <v>46</v>
      </c>
      <c r="D82" s="79" t="s">
        <v>47</v>
      </c>
      <c r="E82" s="13"/>
      <c r="F82" s="18">
        <f t="shared" ref="F82:I83" si="14">F80+F69</f>
        <v>49.540000000000006</v>
      </c>
      <c r="G82" s="18">
        <f t="shared" si="14"/>
        <v>59.99</v>
      </c>
      <c r="H82" s="18">
        <f t="shared" si="14"/>
        <v>191.35</v>
      </c>
      <c r="I82" s="18">
        <f t="shared" si="14"/>
        <v>1556.73</v>
      </c>
      <c r="J82" s="18">
        <f t="shared" ref="J82:S82" si="15">J80+J69</f>
        <v>1.6300000000000001</v>
      </c>
      <c r="K82" s="18">
        <f t="shared" si="15"/>
        <v>60.5</v>
      </c>
      <c r="L82" s="18">
        <f t="shared" si="15"/>
        <v>26.240000000000002</v>
      </c>
      <c r="M82" s="18">
        <f t="shared" si="15"/>
        <v>179.73</v>
      </c>
      <c r="N82" s="18">
        <f t="shared" si="15"/>
        <v>1.4</v>
      </c>
      <c r="O82" s="18"/>
      <c r="P82" s="18">
        <f t="shared" si="15"/>
        <v>359.41999999999996</v>
      </c>
      <c r="Q82" s="18">
        <f t="shared" si="15"/>
        <v>938.36</v>
      </c>
      <c r="R82" s="18">
        <f t="shared" si="15"/>
        <v>375.28</v>
      </c>
      <c r="S82" s="18">
        <f t="shared" si="15"/>
        <v>18</v>
      </c>
    </row>
    <row r="83" spans="1:22" ht="19.5" customHeight="1" thickBot="1">
      <c r="B83" s="10"/>
      <c r="C83" s="227"/>
      <c r="D83" s="79" t="s">
        <v>51</v>
      </c>
      <c r="E83" s="13"/>
      <c r="F83" s="18">
        <f t="shared" si="14"/>
        <v>52.86</v>
      </c>
      <c r="G83" s="18">
        <f t="shared" si="14"/>
        <v>67.12</v>
      </c>
      <c r="H83" s="18">
        <f t="shared" si="14"/>
        <v>213.67</v>
      </c>
      <c r="I83" s="18">
        <f t="shared" si="14"/>
        <v>1736.23</v>
      </c>
      <c r="J83" s="18">
        <f t="shared" ref="J83:S83" si="16">J81+J70</f>
        <v>1.58</v>
      </c>
      <c r="K83" s="18">
        <f t="shared" si="16"/>
        <v>62.010000000000005</v>
      </c>
      <c r="L83" s="18">
        <f t="shared" si="16"/>
        <v>26.240000000000002</v>
      </c>
      <c r="M83" s="18">
        <f t="shared" si="16"/>
        <v>129.72999999999999</v>
      </c>
      <c r="N83" s="18">
        <f t="shared" si="16"/>
        <v>1.4</v>
      </c>
      <c r="O83" s="18"/>
      <c r="P83" s="18">
        <f t="shared" si="16"/>
        <v>361.74</v>
      </c>
      <c r="Q83" s="18">
        <f t="shared" si="16"/>
        <v>869.76</v>
      </c>
      <c r="R83" s="18">
        <f t="shared" si="16"/>
        <v>327.08000000000004</v>
      </c>
      <c r="S83" s="18">
        <f t="shared" si="16"/>
        <v>16.29</v>
      </c>
    </row>
    <row r="84" spans="1:22" ht="16.5" thickBot="1">
      <c r="B84" s="222" t="s">
        <v>24</v>
      </c>
      <c r="C84" s="223"/>
      <c r="D84" s="186"/>
      <c r="E84" s="186"/>
      <c r="F84" s="186"/>
      <c r="G84" s="186"/>
      <c r="H84" s="186"/>
      <c r="I84" s="188"/>
      <c r="J84" s="16"/>
      <c r="K84" s="16"/>
      <c r="L84" s="16"/>
      <c r="M84" s="16"/>
      <c r="N84" s="16"/>
      <c r="O84" s="47"/>
      <c r="P84" s="16"/>
      <c r="Q84" s="16"/>
      <c r="R84" s="16"/>
    </row>
    <row r="85" spans="1:22" ht="32.25" thickBot="1">
      <c r="A85" s="9">
        <v>13</v>
      </c>
      <c r="B85" s="197" t="s">
        <v>25</v>
      </c>
      <c r="C85" s="4" t="s">
        <v>26</v>
      </c>
      <c r="D85" s="48" t="s">
        <v>78</v>
      </c>
      <c r="E85" s="171" t="s">
        <v>132</v>
      </c>
      <c r="F85" s="40">
        <f>6.9*60/60</f>
        <v>6.9</v>
      </c>
      <c r="G85" s="40">
        <f>12.7*60/60</f>
        <v>12.7</v>
      </c>
      <c r="H85" s="40">
        <f>15*60/60</f>
        <v>15</v>
      </c>
      <c r="I85" s="37">
        <f>207*60/60</f>
        <v>207</v>
      </c>
      <c r="J85" s="38">
        <f>0.04*60/100</f>
        <v>2.4E-2</v>
      </c>
      <c r="K85" s="38">
        <f>0.3*60/100</f>
        <v>0.18</v>
      </c>
      <c r="L85" s="38">
        <f>0.7*60/100</f>
        <v>0.42</v>
      </c>
      <c r="M85" s="37">
        <f>260*60/100</f>
        <v>156</v>
      </c>
      <c r="N85" s="36"/>
      <c r="P85" s="37">
        <f>880*60/100</f>
        <v>528</v>
      </c>
      <c r="Q85" s="36">
        <f>500*60/100</f>
        <v>300</v>
      </c>
      <c r="R85" s="36">
        <f>35*60/100</f>
        <v>21</v>
      </c>
      <c r="S85" s="36">
        <f>1*60/100</f>
        <v>0.6</v>
      </c>
    </row>
    <row r="86" spans="1:22" ht="16.5" thickBot="1">
      <c r="A86" s="9">
        <v>258</v>
      </c>
      <c r="B86" s="198"/>
      <c r="C86" s="190" t="s">
        <v>27</v>
      </c>
      <c r="D86" s="73" t="s">
        <v>47</v>
      </c>
      <c r="E86" s="162">
        <v>200</v>
      </c>
      <c r="F86" s="36">
        <v>8.7200000000000006</v>
      </c>
      <c r="G86" s="36">
        <v>12.86</v>
      </c>
      <c r="H86" s="36">
        <v>37.119999999999997</v>
      </c>
      <c r="I86" s="37">
        <v>299</v>
      </c>
      <c r="J86" s="40">
        <v>0.19</v>
      </c>
      <c r="K86" s="40">
        <v>1.36</v>
      </c>
      <c r="L86" s="40"/>
      <c r="M86" s="40">
        <v>0.08</v>
      </c>
      <c r="N86" s="40">
        <v>0.24</v>
      </c>
      <c r="P86" s="40">
        <v>138</v>
      </c>
      <c r="Q86" s="40">
        <v>209.8</v>
      </c>
      <c r="R86" s="40">
        <v>55.4</v>
      </c>
      <c r="S86" s="40">
        <v>1.46</v>
      </c>
    </row>
    <row r="87" spans="1:22" ht="16.5" thickBot="1">
      <c r="B87" s="198"/>
      <c r="C87" s="191"/>
      <c r="D87" s="74" t="s">
        <v>76</v>
      </c>
      <c r="E87" s="162">
        <v>250</v>
      </c>
      <c r="F87" s="36">
        <v>10.9</v>
      </c>
      <c r="G87" s="36">
        <v>16.079999999999998</v>
      </c>
      <c r="H87" s="36">
        <v>46.4</v>
      </c>
      <c r="I87" s="37">
        <v>374</v>
      </c>
      <c r="J87" s="40">
        <v>0.23</v>
      </c>
      <c r="K87" s="40">
        <v>1.7</v>
      </c>
      <c r="L87" s="40"/>
      <c r="M87" s="40">
        <v>0.11</v>
      </c>
      <c r="N87" s="40">
        <v>0.3</v>
      </c>
      <c r="P87" s="40">
        <v>172.5</v>
      </c>
      <c r="Q87" s="40">
        <v>262.25</v>
      </c>
      <c r="R87" s="40">
        <v>69.25</v>
      </c>
      <c r="S87" s="40">
        <v>1.83</v>
      </c>
    </row>
    <row r="88" spans="1:22" s="111" customFormat="1" ht="32.25" thickBot="1">
      <c r="B88" s="198"/>
      <c r="C88" s="156" t="s">
        <v>96</v>
      </c>
      <c r="D88" s="73" t="s">
        <v>97</v>
      </c>
      <c r="E88" s="165">
        <v>30</v>
      </c>
      <c r="F88" s="155">
        <v>1.5</v>
      </c>
      <c r="G88" s="155">
        <v>0.9</v>
      </c>
      <c r="H88" s="155">
        <v>19.5</v>
      </c>
      <c r="I88" s="155">
        <v>90</v>
      </c>
      <c r="J88" s="160">
        <v>0.03</v>
      </c>
      <c r="K88" s="160">
        <v>0.01</v>
      </c>
      <c r="L88" s="160">
        <v>0</v>
      </c>
      <c r="M88" s="160">
        <v>0.8</v>
      </c>
      <c r="N88" s="160">
        <v>0</v>
      </c>
      <c r="O88" s="27"/>
      <c r="P88" s="160">
        <v>3.7</v>
      </c>
      <c r="Q88" s="160">
        <v>17</v>
      </c>
      <c r="R88" s="160">
        <v>3</v>
      </c>
      <c r="S88" s="160">
        <v>0.3</v>
      </c>
    </row>
    <row r="89" spans="1:22" ht="30" customHeight="1" thickBot="1">
      <c r="A89" s="9">
        <v>372</v>
      </c>
      <c r="B89" s="199"/>
      <c r="C89" s="145" t="s">
        <v>116</v>
      </c>
      <c r="D89" s="74" t="s">
        <v>75</v>
      </c>
      <c r="E89" s="162">
        <v>200</v>
      </c>
      <c r="F89" s="40">
        <f>0.1*200/100</f>
        <v>0.2</v>
      </c>
      <c r="G89" s="40"/>
      <c r="H89" s="40">
        <f>17.9*200/100</f>
        <v>35.799999999999997</v>
      </c>
      <c r="I89" s="40">
        <f>71*200/100</f>
        <v>142</v>
      </c>
      <c r="J89" s="40">
        <f>0.02*200/200</f>
        <v>0.02</v>
      </c>
      <c r="K89" s="40"/>
      <c r="L89" s="40">
        <f>5.4*200/200</f>
        <v>5.4</v>
      </c>
      <c r="M89" s="40"/>
      <c r="N89" s="40"/>
      <c r="O89" s="111"/>
      <c r="P89" s="40">
        <f>12*200/200</f>
        <v>12</v>
      </c>
      <c r="Q89" s="40">
        <f>4*200/200</f>
        <v>4</v>
      </c>
      <c r="R89" s="40">
        <f>4*200/200</f>
        <v>4</v>
      </c>
      <c r="S89" s="40">
        <f>0.8*200/200</f>
        <v>0.8</v>
      </c>
    </row>
    <row r="90" spans="1:22" ht="30" customHeight="1" thickBot="1">
      <c r="B90" s="5"/>
      <c r="C90" s="14" t="s">
        <v>47</v>
      </c>
      <c r="D90" s="81"/>
      <c r="E90" s="163">
        <v>500</v>
      </c>
      <c r="F90" s="114">
        <f>F85+F86+F89</f>
        <v>15.82</v>
      </c>
      <c r="G90" s="114">
        <f t="shared" ref="G90:S90" si="17">G85+G86+G89</f>
        <v>25.56</v>
      </c>
      <c r="H90" s="114">
        <f t="shared" si="17"/>
        <v>87.919999999999987</v>
      </c>
      <c r="I90" s="114">
        <f t="shared" si="17"/>
        <v>648</v>
      </c>
      <c r="J90" s="114">
        <f t="shared" si="17"/>
        <v>0.23399999999999999</v>
      </c>
      <c r="K90" s="114">
        <f t="shared" si="17"/>
        <v>1.54</v>
      </c>
      <c r="L90" s="114">
        <f t="shared" si="17"/>
        <v>5.82</v>
      </c>
      <c r="M90" s="114">
        <f t="shared" si="17"/>
        <v>156.08000000000001</v>
      </c>
      <c r="N90" s="114">
        <f t="shared" si="17"/>
        <v>0.24</v>
      </c>
      <c r="O90" s="114"/>
      <c r="P90" s="114">
        <f t="shared" si="17"/>
        <v>678</v>
      </c>
      <c r="Q90" s="114">
        <f t="shared" si="17"/>
        <v>513.79999999999995</v>
      </c>
      <c r="R90" s="114">
        <f t="shared" si="17"/>
        <v>80.400000000000006</v>
      </c>
      <c r="S90" s="114">
        <f t="shared" si="17"/>
        <v>2.8600000000000003</v>
      </c>
    </row>
    <row r="91" spans="1:22" ht="30" customHeight="1" thickBot="1">
      <c r="B91" s="5"/>
      <c r="C91" s="15" t="s">
        <v>48</v>
      </c>
      <c r="D91" s="81"/>
      <c r="E91" s="163">
        <v>550</v>
      </c>
      <c r="F91" s="114">
        <f>F85+F87+F89</f>
        <v>18</v>
      </c>
      <c r="G91" s="114">
        <f t="shared" ref="G91:S91" si="18">G85+G87+G89</f>
        <v>28.779999999999998</v>
      </c>
      <c r="H91" s="114">
        <f t="shared" si="18"/>
        <v>97.199999999999989</v>
      </c>
      <c r="I91" s="114">
        <f t="shared" si="18"/>
        <v>723</v>
      </c>
      <c r="J91" s="114">
        <f t="shared" si="18"/>
        <v>0.27400000000000002</v>
      </c>
      <c r="K91" s="114">
        <f t="shared" si="18"/>
        <v>1.88</v>
      </c>
      <c r="L91" s="114">
        <f t="shared" si="18"/>
        <v>5.82</v>
      </c>
      <c r="M91" s="114">
        <f t="shared" si="18"/>
        <v>156.11000000000001</v>
      </c>
      <c r="N91" s="114">
        <f t="shared" si="18"/>
        <v>0.3</v>
      </c>
      <c r="O91" s="114"/>
      <c r="P91" s="114">
        <f t="shared" si="18"/>
        <v>712.5</v>
      </c>
      <c r="Q91" s="114">
        <f t="shared" si="18"/>
        <v>566.25</v>
      </c>
      <c r="R91" s="114">
        <f t="shared" si="18"/>
        <v>94.25</v>
      </c>
      <c r="S91" s="114">
        <f t="shared" si="18"/>
        <v>3.2300000000000004</v>
      </c>
    </row>
    <row r="92" spans="1:22" ht="16.5" thickBot="1">
      <c r="A92" s="9">
        <v>133</v>
      </c>
      <c r="B92" s="197" t="s">
        <v>9</v>
      </c>
      <c r="C92" s="190" t="s">
        <v>81</v>
      </c>
      <c r="D92" s="73" t="s">
        <v>47</v>
      </c>
      <c r="E92" s="162">
        <v>60</v>
      </c>
      <c r="F92" s="4">
        <v>1.99</v>
      </c>
      <c r="G92" s="4">
        <v>0.28999999999999998</v>
      </c>
      <c r="H92" s="4">
        <v>17.04</v>
      </c>
      <c r="I92" s="4">
        <v>58.72</v>
      </c>
      <c r="J92" s="16">
        <v>0.03</v>
      </c>
      <c r="K92" s="16">
        <v>0</v>
      </c>
      <c r="L92" s="16">
        <v>0</v>
      </c>
      <c r="M92" s="16">
        <v>0</v>
      </c>
      <c r="N92" s="16">
        <v>0</v>
      </c>
      <c r="O92" s="47"/>
      <c r="P92" s="16">
        <v>4.8</v>
      </c>
      <c r="Q92" s="16">
        <v>26.16</v>
      </c>
      <c r="R92" s="16">
        <v>7.2</v>
      </c>
      <c r="S92" s="39">
        <v>0.65</v>
      </c>
    </row>
    <row r="93" spans="1:22" ht="16.5" thickBot="1">
      <c r="B93" s="198"/>
      <c r="C93" s="191"/>
      <c r="D93" s="74" t="s">
        <v>76</v>
      </c>
      <c r="E93" s="162">
        <v>100</v>
      </c>
      <c r="F93" s="48">
        <v>8.3000000000000007</v>
      </c>
      <c r="G93" s="48">
        <v>1.2</v>
      </c>
      <c r="H93" s="48">
        <v>71</v>
      </c>
      <c r="I93" s="48">
        <v>131.19999999999999</v>
      </c>
      <c r="J93" s="16">
        <v>0.13</v>
      </c>
      <c r="K93" s="16">
        <v>0</v>
      </c>
      <c r="L93" s="16">
        <v>0</v>
      </c>
      <c r="M93" s="16">
        <v>0</v>
      </c>
      <c r="N93" s="16">
        <v>0</v>
      </c>
      <c r="O93" s="49"/>
      <c r="P93" s="16">
        <v>20</v>
      </c>
      <c r="Q93" s="16">
        <v>109</v>
      </c>
      <c r="R93" s="16">
        <v>30</v>
      </c>
      <c r="S93" s="39">
        <v>2.7</v>
      </c>
    </row>
    <row r="94" spans="1:22" ht="30.75" customHeight="1" thickBot="1">
      <c r="A94" s="9">
        <v>67</v>
      </c>
      <c r="B94" s="198"/>
      <c r="C94" s="190" t="s">
        <v>125</v>
      </c>
      <c r="D94" s="73" t="s">
        <v>47</v>
      </c>
      <c r="E94" s="165">
        <v>200</v>
      </c>
      <c r="F94" s="6">
        <v>7.04</v>
      </c>
      <c r="G94" s="6">
        <v>8.16</v>
      </c>
      <c r="H94" s="6">
        <v>6.79</v>
      </c>
      <c r="I94" s="6">
        <v>129</v>
      </c>
      <c r="J94" s="40">
        <f>0.03*200/100</f>
        <v>0.06</v>
      </c>
      <c r="K94" s="40">
        <v>15.12</v>
      </c>
      <c r="L94" s="40">
        <f>8*200/100</f>
        <v>16</v>
      </c>
      <c r="M94" s="40">
        <v>10</v>
      </c>
      <c r="N94" s="36">
        <v>1.9</v>
      </c>
      <c r="P94" s="40">
        <v>42.95</v>
      </c>
      <c r="Q94" s="40">
        <v>69.3</v>
      </c>
      <c r="R94" s="40">
        <v>22.55</v>
      </c>
      <c r="S94" s="40">
        <v>1.04</v>
      </c>
      <c r="T94" s="40"/>
      <c r="U94" s="40"/>
      <c r="V94" s="40"/>
    </row>
    <row r="95" spans="1:22" ht="24" customHeight="1" thickBot="1">
      <c r="B95" s="198"/>
      <c r="C95" s="191"/>
      <c r="D95" s="74" t="s">
        <v>76</v>
      </c>
      <c r="E95" s="162">
        <v>250</v>
      </c>
      <c r="F95" s="150" t="s">
        <v>122</v>
      </c>
      <c r="G95" s="150" t="s">
        <v>123</v>
      </c>
      <c r="H95" s="150">
        <v>7.5</v>
      </c>
      <c r="I95" s="151">
        <v>146</v>
      </c>
      <c r="J95" s="40">
        <v>7.0000000000000007E-2</v>
      </c>
      <c r="K95" s="40">
        <v>18.82</v>
      </c>
      <c r="L95" s="40">
        <f>8*250/100</f>
        <v>20</v>
      </c>
      <c r="M95" s="40">
        <v>10</v>
      </c>
      <c r="N95" s="36">
        <v>2.4</v>
      </c>
      <c r="O95" s="148"/>
      <c r="P95" s="40">
        <v>51.55</v>
      </c>
      <c r="Q95" s="40">
        <v>86.6</v>
      </c>
      <c r="R95" s="40">
        <v>27.05</v>
      </c>
      <c r="S95" s="40">
        <v>1.2</v>
      </c>
      <c r="T95" s="40"/>
      <c r="U95" s="40"/>
      <c r="V95" s="40"/>
    </row>
    <row r="96" spans="1:22" ht="27" customHeight="1" thickBot="1">
      <c r="A96" s="9">
        <v>260</v>
      </c>
      <c r="B96" s="198"/>
      <c r="C96" s="138" t="s">
        <v>84</v>
      </c>
      <c r="D96" s="129" t="s">
        <v>101</v>
      </c>
      <c r="E96" s="165">
        <v>120</v>
      </c>
      <c r="F96" s="36">
        <v>17.46</v>
      </c>
      <c r="G96" s="36">
        <v>20.149999999999999</v>
      </c>
      <c r="H96" s="36">
        <v>3.47</v>
      </c>
      <c r="I96" s="37">
        <v>265</v>
      </c>
      <c r="J96" s="38" t="s">
        <v>124</v>
      </c>
      <c r="K96" s="38">
        <v>1.1000000000000001</v>
      </c>
      <c r="L96" s="36">
        <f>7.6*100/100</f>
        <v>7.6</v>
      </c>
      <c r="M96" s="36"/>
      <c r="N96" s="36">
        <v>0</v>
      </c>
      <c r="O96" s="111"/>
      <c r="P96" s="36">
        <v>26.17</v>
      </c>
      <c r="Q96" s="36">
        <v>185</v>
      </c>
      <c r="R96" s="36">
        <v>26.44</v>
      </c>
      <c r="S96" s="36">
        <v>3.67</v>
      </c>
    </row>
    <row r="97" spans="1:19" ht="16.5" thickBot="1">
      <c r="A97" s="9">
        <v>204</v>
      </c>
      <c r="B97" s="198"/>
      <c r="C97" s="190" t="s">
        <v>28</v>
      </c>
      <c r="D97" s="73" t="s">
        <v>47</v>
      </c>
      <c r="E97" s="162">
        <v>200</v>
      </c>
      <c r="F97" s="40">
        <v>7.68</v>
      </c>
      <c r="G97" s="40">
        <v>1.1000000000000001</v>
      </c>
      <c r="H97" s="40">
        <v>41.52</v>
      </c>
      <c r="I97" s="37">
        <v>155</v>
      </c>
      <c r="J97" s="40">
        <v>0.11</v>
      </c>
      <c r="K97" s="40">
        <v>0</v>
      </c>
      <c r="L97" s="40"/>
      <c r="M97" s="40"/>
      <c r="N97" s="40"/>
      <c r="P97" s="40">
        <v>10</v>
      </c>
      <c r="Q97" s="40">
        <v>63.3</v>
      </c>
      <c r="R97" s="40">
        <v>30.2</v>
      </c>
      <c r="S97" s="40">
        <v>1.63</v>
      </c>
    </row>
    <row r="98" spans="1:19" ht="16.5" thickBot="1">
      <c r="B98" s="198"/>
      <c r="C98" s="191"/>
      <c r="D98" s="74" t="s">
        <v>76</v>
      </c>
      <c r="E98" s="162">
        <v>230</v>
      </c>
      <c r="F98" s="11">
        <v>8.8000000000000007</v>
      </c>
      <c r="G98" s="11">
        <v>1.26</v>
      </c>
      <c r="H98" s="11">
        <v>47.74</v>
      </c>
      <c r="I98" s="11">
        <v>238</v>
      </c>
      <c r="J98" s="25">
        <v>0.13</v>
      </c>
      <c r="K98" s="25">
        <v>0</v>
      </c>
      <c r="L98" s="25"/>
      <c r="M98" s="25"/>
      <c r="N98" s="25"/>
      <c r="O98" s="22"/>
      <c r="P98" s="25">
        <v>11.5</v>
      </c>
      <c r="Q98" s="25">
        <v>72.790000000000006</v>
      </c>
      <c r="R98" s="25">
        <v>34.729999999999997</v>
      </c>
      <c r="S98" s="86">
        <v>1.87</v>
      </c>
    </row>
    <row r="99" spans="1:19" ht="32.25" customHeight="1" thickBot="1">
      <c r="A99" s="9">
        <v>379</v>
      </c>
      <c r="B99" s="198"/>
      <c r="C99" s="4" t="s">
        <v>29</v>
      </c>
      <c r="D99" s="74" t="s">
        <v>78</v>
      </c>
      <c r="E99" s="162">
        <v>200</v>
      </c>
      <c r="F99" s="51">
        <v>3.17</v>
      </c>
      <c r="G99" s="51">
        <v>2.68</v>
      </c>
      <c r="H99" s="51">
        <v>15.95</v>
      </c>
      <c r="I99" s="51">
        <v>101</v>
      </c>
      <c r="J99" s="51">
        <v>0.04</v>
      </c>
      <c r="K99" s="51">
        <v>1.3</v>
      </c>
      <c r="L99" s="51">
        <f>0.4*200/200</f>
        <v>0.4</v>
      </c>
      <c r="M99" s="51">
        <v>20</v>
      </c>
      <c r="N99" s="51">
        <v>0</v>
      </c>
      <c r="P99" s="51">
        <v>125.78</v>
      </c>
      <c r="Q99" s="51">
        <v>90</v>
      </c>
      <c r="R99" s="16">
        <v>14</v>
      </c>
      <c r="S99" s="149">
        <v>0.13</v>
      </c>
    </row>
    <row r="100" spans="1:19" ht="27" customHeight="1" thickBot="1">
      <c r="A100" s="9">
        <v>109</v>
      </c>
      <c r="B100" s="198"/>
      <c r="C100" s="145" t="s">
        <v>11</v>
      </c>
      <c r="D100" s="125" t="s">
        <v>68</v>
      </c>
      <c r="E100" s="162">
        <v>50</v>
      </c>
      <c r="F100" s="145">
        <v>3.3</v>
      </c>
      <c r="G100" s="145">
        <v>0.6</v>
      </c>
      <c r="H100" s="145">
        <v>16.7</v>
      </c>
      <c r="I100" s="145">
        <v>87</v>
      </c>
      <c r="J100" s="144">
        <v>0.9</v>
      </c>
      <c r="K100" s="144">
        <v>0.02</v>
      </c>
      <c r="L100" s="144"/>
      <c r="M100" s="144"/>
      <c r="N100" s="144">
        <v>0.7</v>
      </c>
      <c r="O100" s="146"/>
      <c r="P100" s="144">
        <v>35</v>
      </c>
      <c r="Q100" s="144">
        <v>158</v>
      </c>
      <c r="R100" s="144">
        <v>47</v>
      </c>
      <c r="S100" s="39">
        <v>3.9</v>
      </c>
    </row>
    <row r="101" spans="1:19" ht="30" customHeight="1">
      <c r="B101" s="235"/>
      <c r="C101" s="3" t="s">
        <v>82</v>
      </c>
      <c r="D101" s="73" t="s">
        <v>75</v>
      </c>
      <c r="E101" s="166">
        <v>100</v>
      </c>
      <c r="F101" s="92">
        <v>0.4</v>
      </c>
      <c r="G101" s="92">
        <v>0.4</v>
      </c>
      <c r="H101" s="92">
        <v>9.8000000000000007</v>
      </c>
      <c r="I101" s="92">
        <v>47</v>
      </c>
      <c r="J101" s="93">
        <v>0.03</v>
      </c>
      <c r="K101" s="92">
        <v>0.02</v>
      </c>
      <c r="L101" s="92">
        <v>10</v>
      </c>
      <c r="M101" s="92"/>
      <c r="N101" s="92"/>
      <c r="P101" s="92">
        <v>16</v>
      </c>
      <c r="Q101" s="92">
        <v>11</v>
      </c>
      <c r="R101" s="92">
        <v>9</v>
      </c>
      <c r="S101" s="92">
        <v>2.2000000000000002</v>
      </c>
    </row>
    <row r="102" spans="1:19" ht="16.5" thickBot="1">
      <c r="B102" s="19"/>
      <c r="C102" s="20" t="s">
        <v>47</v>
      </c>
      <c r="D102" s="20"/>
      <c r="E102" s="159">
        <v>930</v>
      </c>
      <c r="F102" s="24">
        <f>F92+F94+F96+F97+F99+F100+F101</f>
        <v>41.04</v>
      </c>
      <c r="G102" s="24">
        <f t="shared" ref="G102:S102" si="19">G92+G94+G96+G97+G99+G100+G101</f>
        <v>33.380000000000003</v>
      </c>
      <c r="H102" s="24">
        <f t="shared" si="19"/>
        <v>111.27</v>
      </c>
      <c r="I102" s="24">
        <f t="shared" si="19"/>
        <v>842.72</v>
      </c>
      <c r="J102" s="78">
        <f>J93+J95+J97+J98+J100+J101</f>
        <v>1.37</v>
      </c>
      <c r="K102" s="24">
        <f t="shared" si="19"/>
        <v>17.559999999999999</v>
      </c>
      <c r="L102" s="24">
        <f t="shared" si="19"/>
        <v>34</v>
      </c>
      <c r="M102" s="24">
        <f t="shared" si="19"/>
        <v>30</v>
      </c>
      <c r="N102" s="24">
        <f t="shared" si="19"/>
        <v>2.5999999999999996</v>
      </c>
      <c r="O102" s="24"/>
      <c r="P102" s="24">
        <f t="shared" si="19"/>
        <v>260.7</v>
      </c>
      <c r="Q102" s="24">
        <f t="shared" si="19"/>
        <v>602.76</v>
      </c>
      <c r="R102" s="24">
        <f t="shared" si="19"/>
        <v>156.38999999999999</v>
      </c>
      <c r="S102" s="24">
        <f t="shared" si="19"/>
        <v>13.219999999999999</v>
      </c>
    </row>
    <row r="103" spans="1:19" ht="16.5" thickBot="1">
      <c r="B103" s="19"/>
      <c r="C103" s="13" t="s">
        <v>48</v>
      </c>
      <c r="D103" s="20"/>
      <c r="E103" s="159">
        <v>1010</v>
      </c>
      <c r="F103" s="24">
        <f>F93+F95+F96+F98+F99+F100+F101</f>
        <v>48.82</v>
      </c>
      <c r="G103" s="24">
        <f t="shared" ref="G103:S103" si="20">G93+G95+G96+G98+G99+G100+G101</f>
        <v>35.43</v>
      </c>
      <c r="H103" s="24">
        <f t="shared" si="20"/>
        <v>172.16</v>
      </c>
      <c r="I103" s="24">
        <f t="shared" si="20"/>
        <v>1015.2</v>
      </c>
      <c r="J103" s="114">
        <f t="shared" ref="J103" si="21">J98+J100+J101</f>
        <v>1.06</v>
      </c>
      <c r="K103" s="24">
        <f t="shared" si="20"/>
        <v>21.26</v>
      </c>
      <c r="L103" s="24">
        <f t="shared" si="20"/>
        <v>38</v>
      </c>
      <c r="M103" s="24">
        <f t="shared" si="20"/>
        <v>30</v>
      </c>
      <c r="N103" s="24">
        <f t="shared" si="20"/>
        <v>3.0999999999999996</v>
      </c>
      <c r="O103" s="24"/>
      <c r="P103" s="24">
        <f t="shared" si="20"/>
        <v>286</v>
      </c>
      <c r="Q103" s="24">
        <f t="shared" si="20"/>
        <v>712.3900000000001</v>
      </c>
      <c r="R103" s="24">
        <f t="shared" si="20"/>
        <v>188.22</v>
      </c>
      <c r="S103" s="24">
        <f t="shared" si="20"/>
        <v>15.670000000000002</v>
      </c>
    </row>
    <row r="104" spans="1:19" ht="15.75">
      <c r="B104" s="19"/>
      <c r="C104" s="183" t="s">
        <v>46</v>
      </c>
      <c r="D104" s="85"/>
      <c r="E104" s="13"/>
      <c r="F104" s="18">
        <f>F102+F90</f>
        <v>56.86</v>
      </c>
      <c r="G104" s="18">
        <f t="shared" ref="G104:S104" si="22">G102+G90</f>
        <v>58.94</v>
      </c>
      <c r="H104" s="18">
        <f t="shared" si="22"/>
        <v>199.19</v>
      </c>
      <c r="I104" s="18">
        <f t="shared" si="22"/>
        <v>1490.72</v>
      </c>
      <c r="J104" s="18">
        <f t="shared" si="22"/>
        <v>1.6040000000000001</v>
      </c>
      <c r="K104" s="18">
        <f t="shared" si="22"/>
        <v>19.099999999999998</v>
      </c>
      <c r="L104" s="18">
        <f t="shared" si="22"/>
        <v>39.82</v>
      </c>
      <c r="M104" s="18">
        <f t="shared" si="22"/>
        <v>186.08</v>
      </c>
      <c r="N104" s="18">
        <f t="shared" si="22"/>
        <v>2.84</v>
      </c>
      <c r="O104" s="18"/>
      <c r="P104" s="18">
        <f t="shared" si="22"/>
        <v>938.7</v>
      </c>
      <c r="Q104" s="18">
        <f t="shared" ref="Q104" si="23">Q102+Q91</f>
        <v>1169.01</v>
      </c>
      <c r="R104" s="18">
        <f t="shared" si="22"/>
        <v>236.79</v>
      </c>
      <c r="S104" s="18">
        <f t="shared" si="22"/>
        <v>16.079999999999998</v>
      </c>
    </row>
    <row r="105" spans="1:19" ht="15.75">
      <c r="B105" s="19"/>
      <c r="C105" s="183"/>
      <c r="D105" s="85"/>
      <c r="E105" s="13"/>
      <c r="F105" s="18">
        <f>F103+F91</f>
        <v>66.819999999999993</v>
      </c>
      <c r="G105" s="18">
        <f t="shared" ref="G105:S105" si="24">G103+G91</f>
        <v>64.209999999999994</v>
      </c>
      <c r="H105" s="18">
        <f t="shared" si="24"/>
        <v>269.36</v>
      </c>
      <c r="I105" s="18">
        <f t="shared" si="24"/>
        <v>1738.2</v>
      </c>
      <c r="J105" s="18">
        <f t="shared" si="24"/>
        <v>1.3340000000000001</v>
      </c>
      <c r="K105" s="18">
        <f t="shared" si="24"/>
        <v>23.14</v>
      </c>
      <c r="L105" s="18">
        <f t="shared" si="24"/>
        <v>43.82</v>
      </c>
      <c r="M105" s="18">
        <f t="shared" si="24"/>
        <v>186.11</v>
      </c>
      <c r="N105" s="18">
        <f t="shared" si="24"/>
        <v>3.3999999999999995</v>
      </c>
      <c r="O105" s="18"/>
      <c r="P105" s="18">
        <f t="shared" si="24"/>
        <v>998.5</v>
      </c>
      <c r="Q105" s="18">
        <f t="shared" ref="Q105" si="25">Q103+Q92</f>
        <v>738.55000000000007</v>
      </c>
      <c r="R105" s="18">
        <f t="shared" si="24"/>
        <v>282.47000000000003</v>
      </c>
      <c r="S105" s="18">
        <f t="shared" si="24"/>
        <v>18.900000000000002</v>
      </c>
    </row>
    <row r="106" spans="1:19" ht="15.75">
      <c r="B106" s="228" t="s">
        <v>30</v>
      </c>
      <c r="C106" s="228"/>
      <c r="D106" s="228"/>
      <c r="E106" s="228"/>
      <c r="F106" s="228"/>
      <c r="G106" s="228"/>
      <c r="H106" s="228"/>
      <c r="I106" s="228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9" ht="28.5" customHeight="1" thickBot="1">
      <c r="A107" s="9">
        <v>1</v>
      </c>
      <c r="B107" s="234" t="s">
        <v>6</v>
      </c>
      <c r="C107" s="4" t="s">
        <v>31</v>
      </c>
      <c r="D107" s="110" t="s">
        <v>99</v>
      </c>
      <c r="E107" s="173" t="s">
        <v>133</v>
      </c>
      <c r="F107" s="36">
        <v>2.4500000000000002</v>
      </c>
      <c r="G107" s="36">
        <v>7.55</v>
      </c>
      <c r="H107" s="36">
        <v>14.6</v>
      </c>
      <c r="I107" s="37">
        <v>116</v>
      </c>
      <c r="J107" s="87">
        <v>0.05</v>
      </c>
      <c r="K107" s="87">
        <v>0</v>
      </c>
      <c r="L107" s="36"/>
      <c r="M107" s="36">
        <v>40</v>
      </c>
      <c r="N107" s="36"/>
      <c r="P107" s="36">
        <v>9.3000000000000007</v>
      </c>
      <c r="Q107" s="36">
        <v>29.1</v>
      </c>
      <c r="R107" s="36">
        <v>9.9</v>
      </c>
      <c r="S107" s="36">
        <v>0.62</v>
      </c>
    </row>
    <row r="108" spans="1:19" ht="21.75" customHeight="1" thickBot="1">
      <c r="A108" s="9">
        <v>121</v>
      </c>
      <c r="B108" s="198"/>
      <c r="C108" s="190" t="s">
        <v>32</v>
      </c>
      <c r="D108" s="73" t="s">
        <v>100</v>
      </c>
      <c r="E108" s="4">
        <v>250</v>
      </c>
      <c r="F108" s="36">
        <v>3.71</v>
      </c>
      <c r="G108" s="36">
        <v>4.47</v>
      </c>
      <c r="H108" s="36">
        <v>7.68</v>
      </c>
      <c r="I108" s="37">
        <v>89</v>
      </c>
      <c r="J108" s="88">
        <f>0.02*250/100</f>
        <v>0.05</v>
      </c>
      <c r="K108" s="88">
        <v>0.8</v>
      </c>
      <c r="L108" s="89">
        <f>0.3*250/100</f>
        <v>0.75</v>
      </c>
      <c r="M108" s="90">
        <v>33</v>
      </c>
      <c r="N108" s="90"/>
      <c r="P108" s="37">
        <v>159.5</v>
      </c>
      <c r="Q108" s="37">
        <v>113.68</v>
      </c>
      <c r="R108" s="37">
        <v>17.68</v>
      </c>
      <c r="S108" s="36">
        <f>0.1*250/100</f>
        <v>0.25</v>
      </c>
    </row>
    <row r="109" spans="1:19" ht="21.75" customHeight="1" thickBot="1">
      <c r="B109" s="198"/>
      <c r="C109" s="191"/>
      <c r="D109" s="74" t="s">
        <v>76</v>
      </c>
      <c r="E109" s="4">
        <v>250</v>
      </c>
      <c r="F109" s="36">
        <v>3.71</v>
      </c>
      <c r="G109" s="36">
        <v>4.47</v>
      </c>
      <c r="H109" s="36">
        <v>7.68</v>
      </c>
      <c r="I109" s="37">
        <v>89</v>
      </c>
      <c r="J109" s="88">
        <f>0.02*250/100</f>
        <v>0.05</v>
      </c>
      <c r="K109" s="88">
        <v>0.8</v>
      </c>
      <c r="L109" s="89">
        <f>0.3*250/100</f>
        <v>0.75</v>
      </c>
      <c r="M109" s="90">
        <v>33</v>
      </c>
      <c r="N109" s="90"/>
      <c r="O109" s="111"/>
      <c r="P109" s="37">
        <v>159.5</v>
      </c>
      <c r="Q109" s="37">
        <v>113.68</v>
      </c>
      <c r="R109" s="37">
        <v>17.68</v>
      </c>
      <c r="S109" s="36">
        <f>0.1*250/100</f>
        <v>0.25</v>
      </c>
    </row>
    <row r="110" spans="1:19" s="111" customFormat="1" ht="21.75" customHeight="1" thickBot="1">
      <c r="B110" s="198"/>
      <c r="C110" s="156" t="s">
        <v>96</v>
      </c>
      <c r="D110" s="73" t="s">
        <v>134</v>
      </c>
      <c r="E110" s="6">
        <v>30</v>
      </c>
      <c r="F110" s="155">
        <v>1.5</v>
      </c>
      <c r="G110" s="155">
        <v>0.9</v>
      </c>
      <c r="H110" s="155">
        <v>19.5</v>
      </c>
      <c r="I110" s="155">
        <v>90</v>
      </c>
      <c r="J110" s="160">
        <v>0.03</v>
      </c>
      <c r="K110" s="160">
        <v>0.01</v>
      </c>
      <c r="L110" s="160">
        <v>0</v>
      </c>
      <c r="M110" s="160">
        <v>0.8</v>
      </c>
      <c r="N110" s="160">
        <v>0</v>
      </c>
      <c r="O110" s="27"/>
      <c r="P110" s="160">
        <v>3.7</v>
      </c>
      <c r="Q110" s="160">
        <v>17</v>
      </c>
      <c r="R110" s="160">
        <v>3</v>
      </c>
      <c r="S110" s="160">
        <v>0.3</v>
      </c>
    </row>
    <row r="111" spans="1:19" ht="27.75" customHeight="1" thickBot="1">
      <c r="A111" s="9">
        <v>376</v>
      </c>
      <c r="B111" s="199"/>
      <c r="C111" s="145" t="s">
        <v>8</v>
      </c>
      <c r="D111" s="145" t="s">
        <v>54</v>
      </c>
      <c r="E111" s="145">
        <v>200</v>
      </c>
      <c r="F111" s="145">
        <v>7.0000000000000007E-2</v>
      </c>
      <c r="G111" s="145">
        <v>0.02</v>
      </c>
      <c r="H111" s="145">
        <v>15</v>
      </c>
      <c r="I111" s="143">
        <v>60</v>
      </c>
      <c r="J111" s="146"/>
      <c r="K111" s="146"/>
      <c r="L111" s="146">
        <v>0.03</v>
      </c>
      <c r="M111" s="146"/>
      <c r="N111" s="57"/>
      <c r="O111" s="146"/>
      <c r="P111" s="63">
        <v>11.1</v>
      </c>
      <c r="Q111" s="146">
        <v>2.8</v>
      </c>
      <c r="R111" s="146">
        <v>1.4</v>
      </c>
      <c r="S111" s="54">
        <v>0.28000000000000003</v>
      </c>
    </row>
    <row r="112" spans="1:19" ht="18" customHeight="1" thickBot="1">
      <c r="B112" s="5"/>
      <c r="C112" s="20" t="s">
        <v>47</v>
      </c>
      <c r="D112" s="34"/>
      <c r="E112" s="4">
        <v>550</v>
      </c>
      <c r="F112" s="4">
        <f>F107+F108+F111</f>
        <v>6.23</v>
      </c>
      <c r="G112" s="4">
        <f t="shared" ref="G112:S112" si="26">G107+G108+G111</f>
        <v>12.04</v>
      </c>
      <c r="H112" s="4">
        <f t="shared" si="26"/>
        <v>37.28</v>
      </c>
      <c r="I112" s="4">
        <f t="shared" si="26"/>
        <v>265</v>
      </c>
      <c r="J112" s="48">
        <f t="shared" si="26"/>
        <v>0.1</v>
      </c>
      <c r="K112" s="48">
        <f t="shared" si="26"/>
        <v>0.8</v>
      </c>
      <c r="L112" s="48">
        <f t="shared" si="26"/>
        <v>0.78</v>
      </c>
      <c r="M112" s="48">
        <f t="shared" si="26"/>
        <v>73</v>
      </c>
      <c r="N112" s="48">
        <f t="shared" si="26"/>
        <v>0</v>
      </c>
      <c r="O112" s="48"/>
      <c r="P112" s="48">
        <f t="shared" si="26"/>
        <v>179.9</v>
      </c>
      <c r="Q112" s="48">
        <f t="shared" si="26"/>
        <v>145.58000000000001</v>
      </c>
      <c r="R112" s="48">
        <f t="shared" si="26"/>
        <v>28.979999999999997</v>
      </c>
      <c r="S112" s="48">
        <f t="shared" si="26"/>
        <v>1.1499999999999999</v>
      </c>
    </row>
    <row r="113" spans="1:19" ht="17.25" customHeight="1" thickBot="1">
      <c r="B113" s="5"/>
      <c r="C113" s="13" t="s">
        <v>48</v>
      </c>
      <c r="D113" s="34"/>
      <c r="E113" s="4">
        <v>550</v>
      </c>
      <c r="F113" s="12">
        <f>F107+F109+F111</f>
        <v>6.23</v>
      </c>
      <c r="G113" s="12">
        <f t="shared" ref="G113:S113" si="27">G107+G109+G111</f>
        <v>12.04</v>
      </c>
      <c r="H113" s="12">
        <f t="shared" si="27"/>
        <v>37.28</v>
      </c>
      <c r="I113" s="12">
        <f t="shared" si="27"/>
        <v>265</v>
      </c>
      <c r="J113" s="12">
        <f t="shared" si="27"/>
        <v>0.1</v>
      </c>
      <c r="K113" s="12">
        <f t="shared" si="27"/>
        <v>0.8</v>
      </c>
      <c r="L113" s="12">
        <f t="shared" si="27"/>
        <v>0.78</v>
      </c>
      <c r="M113" s="12">
        <f t="shared" si="27"/>
        <v>73</v>
      </c>
      <c r="N113" s="12">
        <f t="shared" si="27"/>
        <v>0</v>
      </c>
      <c r="O113" s="12"/>
      <c r="P113" s="12">
        <f t="shared" si="27"/>
        <v>179.9</v>
      </c>
      <c r="Q113" s="12">
        <f t="shared" si="27"/>
        <v>145.58000000000001</v>
      </c>
      <c r="R113" s="12">
        <f t="shared" si="27"/>
        <v>28.979999999999997</v>
      </c>
      <c r="S113" s="12">
        <f t="shared" si="27"/>
        <v>1.1499999999999999</v>
      </c>
    </row>
    <row r="114" spans="1:19" s="111" customFormat="1" ht="5.25" customHeight="1">
      <c r="B114" s="2"/>
      <c r="C114" s="33"/>
      <c r="D114" s="34"/>
      <c r="E114" s="3"/>
      <c r="F114" s="69"/>
      <c r="G114" s="69"/>
      <c r="H114" s="69"/>
      <c r="I114" s="69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11" customFormat="1" ht="30" customHeight="1">
      <c r="A115" s="111">
        <v>136</v>
      </c>
      <c r="B115" s="194" t="s">
        <v>83</v>
      </c>
      <c r="C115" s="13" t="s">
        <v>143</v>
      </c>
      <c r="D115" s="20" t="s">
        <v>73</v>
      </c>
      <c r="E115" s="182">
        <v>100</v>
      </c>
      <c r="F115" s="181">
        <v>0.8</v>
      </c>
      <c r="G115" s="181">
        <v>0.1</v>
      </c>
      <c r="H115" s="181">
        <v>2.5</v>
      </c>
      <c r="I115" s="181">
        <v>14</v>
      </c>
      <c r="J115" s="181">
        <v>0.3</v>
      </c>
      <c r="K115" s="181">
        <v>0.04</v>
      </c>
      <c r="L115" s="181">
        <v>10</v>
      </c>
      <c r="M115" s="181">
        <v>0.01</v>
      </c>
      <c r="N115" s="181"/>
      <c r="O115" s="181"/>
      <c r="P115" s="181">
        <v>23</v>
      </c>
      <c r="Q115" s="181">
        <v>42</v>
      </c>
      <c r="R115" s="181">
        <v>14</v>
      </c>
      <c r="S115" s="54">
        <v>0.6</v>
      </c>
    </row>
    <row r="116" spans="1:19" ht="20.25" customHeight="1" thickBot="1">
      <c r="A116" s="9">
        <v>81</v>
      </c>
      <c r="B116" s="194"/>
      <c r="C116" s="229" t="s">
        <v>126</v>
      </c>
      <c r="D116" s="73" t="s">
        <v>47</v>
      </c>
      <c r="E116" s="165">
        <v>200</v>
      </c>
      <c r="F116" s="6">
        <v>10.039999999999999</v>
      </c>
      <c r="G116" s="6">
        <v>8.4700000000000006</v>
      </c>
      <c r="H116" s="6">
        <v>18.5</v>
      </c>
      <c r="I116" s="6">
        <v>169</v>
      </c>
      <c r="J116" s="135">
        <v>0.19</v>
      </c>
      <c r="K116" s="135">
        <v>5</v>
      </c>
      <c r="L116" s="136">
        <f>0.4*200/100</f>
        <v>0.8</v>
      </c>
      <c r="M116" s="136">
        <v>10</v>
      </c>
      <c r="N116" s="136"/>
      <c r="P116" s="136">
        <v>38.75</v>
      </c>
      <c r="Q116" s="136">
        <v>108.7</v>
      </c>
      <c r="R116" s="136">
        <v>32.950000000000003</v>
      </c>
      <c r="S116" s="136">
        <v>2.02</v>
      </c>
    </row>
    <row r="117" spans="1:19" ht="24.75" customHeight="1" thickBot="1">
      <c r="B117" s="194"/>
      <c r="C117" s="191"/>
      <c r="D117" s="74" t="s">
        <v>76</v>
      </c>
      <c r="E117" s="162">
        <v>250</v>
      </c>
      <c r="F117" s="4">
        <v>11.13</v>
      </c>
      <c r="G117" s="4">
        <v>9.52</v>
      </c>
      <c r="H117" s="4">
        <v>16.32</v>
      </c>
      <c r="I117" s="4">
        <v>196</v>
      </c>
      <c r="J117" s="42">
        <v>0.24</v>
      </c>
      <c r="K117" s="42">
        <v>6.16</v>
      </c>
      <c r="L117" s="91">
        <f>0.4*250/100</f>
        <v>1</v>
      </c>
      <c r="M117" s="91">
        <v>10</v>
      </c>
      <c r="N117" s="91"/>
      <c r="P117" s="91">
        <v>46.6</v>
      </c>
      <c r="Q117" s="91">
        <v>126.2</v>
      </c>
      <c r="R117" s="91">
        <v>40.049999999999997</v>
      </c>
      <c r="S117" s="91">
        <v>2.0699999999999998</v>
      </c>
    </row>
    <row r="118" spans="1:19" ht="24.75" customHeight="1" thickBot="1">
      <c r="A118" s="9">
        <v>279</v>
      </c>
      <c r="B118" s="194"/>
      <c r="C118" s="140" t="s">
        <v>115</v>
      </c>
      <c r="D118" s="128" t="s">
        <v>101</v>
      </c>
      <c r="E118" s="162">
        <v>110</v>
      </c>
      <c r="F118" s="4">
        <v>7.46</v>
      </c>
      <c r="G118" s="4">
        <v>8.2899999999999991</v>
      </c>
      <c r="H118" s="4">
        <v>9.44</v>
      </c>
      <c r="I118" s="4">
        <v>142</v>
      </c>
      <c r="J118" s="38">
        <v>0.05</v>
      </c>
      <c r="K118" s="38">
        <v>0.41</v>
      </c>
      <c r="L118" s="38">
        <v>1</v>
      </c>
      <c r="M118" s="38">
        <v>33</v>
      </c>
      <c r="N118" s="38"/>
      <c r="P118" s="36">
        <v>23.65</v>
      </c>
      <c r="Q118" s="36">
        <v>83.14</v>
      </c>
      <c r="R118" s="36">
        <v>16.5</v>
      </c>
      <c r="S118" s="36">
        <v>0.68</v>
      </c>
    </row>
    <row r="119" spans="1:19" ht="21" customHeight="1" thickBot="1">
      <c r="A119" s="9">
        <v>143</v>
      </c>
      <c r="B119" s="194"/>
      <c r="C119" s="190" t="s">
        <v>69</v>
      </c>
      <c r="D119" s="3" t="s">
        <v>50</v>
      </c>
      <c r="E119" s="162">
        <v>200</v>
      </c>
      <c r="F119" s="145">
        <v>3.46</v>
      </c>
      <c r="G119" s="145">
        <v>21.46</v>
      </c>
      <c r="H119" s="145">
        <v>16.79</v>
      </c>
      <c r="I119" s="145">
        <v>210</v>
      </c>
      <c r="J119" s="38">
        <v>0.12</v>
      </c>
      <c r="K119" s="38">
        <f>0.05*200/100</f>
        <v>0.1</v>
      </c>
      <c r="L119" s="36">
        <v>24.42</v>
      </c>
      <c r="M119" s="40">
        <v>90</v>
      </c>
      <c r="N119" s="55"/>
      <c r="O119" s="27"/>
      <c r="P119" s="65">
        <v>72.55</v>
      </c>
      <c r="Q119" s="36">
        <v>87.86</v>
      </c>
      <c r="R119" s="36">
        <v>31.75</v>
      </c>
      <c r="S119" s="36">
        <v>1.17</v>
      </c>
    </row>
    <row r="120" spans="1:19" ht="18" customHeight="1" thickBot="1">
      <c r="B120" s="194"/>
      <c r="C120" s="192"/>
      <c r="D120" s="29" t="s">
        <v>51</v>
      </c>
      <c r="E120" s="162">
        <v>200</v>
      </c>
      <c r="F120" s="156">
        <v>3.46</v>
      </c>
      <c r="G120" s="156">
        <v>21.46</v>
      </c>
      <c r="H120" s="156">
        <v>16.79</v>
      </c>
      <c r="I120" s="156">
        <v>210</v>
      </c>
      <c r="J120" s="38">
        <v>0.12</v>
      </c>
      <c r="K120" s="38">
        <f>0.05*200/100</f>
        <v>0.1</v>
      </c>
      <c r="L120" s="36">
        <v>24.42</v>
      </c>
      <c r="M120" s="40">
        <v>90</v>
      </c>
      <c r="N120" s="55"/>
      <c r="O120" s="27"/>
      <c r="P120" s="65">
        <v>72.55</v>
      </c>
      <c r="Q120" s="36">
        <v>87.86</v>
      </c>
      <c r="R120" s="36">
        <v>31.75</v>
      </c>
      <c r="S120" s="36">
        <v>1.17</v>
      </c>
    </row>
    <row r="121" spans="1:19" ht="28.5" customHeight="1" thickBot="1">
      <c r="A121" s="9">
        <v>372</v>
      </c>
      <c r="B121" s="194"/>
      <c r="C121" s="145" t="s">
        <v>116</v>
      </c>
      <c r="D121" s="74" t="s">
        <v>75</v>
      </c>
      <c r="E121" s="162">
        <v>200</v>
      </c>
      <c r="F121" s="40">
        <f>0.1*200/100</f>
        <v>0.2</v>
      </c>
      <c r="G121" s="40"/>
      <c r="H121" s="40">
        <f>17.9*200/100</f>
        <v>35.799999999999997</v>
      </c>
      <c r="I121" s="40">
        <f>71*200/100</f>
        <v>142</v>
      </c>
      <c r="J121" s="40">
        <f>0.02*200/200</f>
        <v>0.02</v>
      </c>
      <c r="K121" s="40"/>
      <c r="L121" s="40">
        <f>5.4*200/200</f>
        <v>5.4</v>
      </c>
      <c r="M121" s="40"/>
      <c r="N121" s="40"/>
      <c r="O121" s="111"/>
      <c r="P121" s="40">
        <f>12*200/200</f>
        <v>12</v>
      </c>
      <c r="Q121" s="40">
        <f>4*200/200</f>
        <v>4</v>
      </c>
      <c r="R121" s="40">
        <f>4*200/200</f>
        <v>4</v>
      </c>
      <c r="S121" s="40">
        <f>0.8*200/200</f>
        <v>0.8</v>
      </c>
    </row>
    <row r="122" spans="1:19" ht="27" customHeight="1" thickBot="1">
      <c r="A122" s="9">
        <v>109</v>
      </c>
      <c r="B122" s="195"/>
      <c r="C122" s="145" t="s">
        <v>11</v>
      </c>
      <c r="D122" s="125" t="s">
        <v>68</v>
      </c>
      <c r="E122" s="162">
        <v>50</v>
      </c>
      <c r="F122" s="145">
        <v>3.3</v>
      </c>
      <c r="G122" s="145">
        <v>0.6</v>
      </c>
      <c r="H122" s="145">
        <v>16.7</v>
      </c>
      <c r="I122" s="145">
        <v>87</v>
      </c>
      <c r="J122" s="144">
        <v>0.9</v>
      </c>
      <c r="K122" s="144">
        <v>0.02</v>
      </c>
      <c r="L122" s="144"/>
      <c r="M122" s="144"/>
      <c r="N122" s="144">
        <v>0.7</v>
      </c>
      <c r="O122" s="146"/>
      <c r="P122" s="144">
        <v>35</v>
      </c>
      <c r="Q122" s="144">
        <v>158</v>
      </c>
      <c r="R122" s="144">
        <v>47</v>
      </c>
      <c r="S122" s="39">
        <v>3.9</v>
      </c>
    </row>
    <row r="123" spans="1:19" ht="15.75" customHeight="1" thickBot="1">
      <c r="B123" s="1"/>
      <c r="C123" s="20" t="s">
        <v>47</v>
      </c>
      <c r="D123" s="20"/>
      <c r="E123" s="159">
        <v>860</v>
      </c>
      <c r="F123" s="24">
        <f>F116+F118+F119+F121+F122+F115</f>
        <v>25.26</v>
      </c>
      <c r="G123" s="24">
        <f t="shared" ref="G123:S123" si="28">G116+G118+G119+G121+G122+G115</f>
        <v>38.92</v>
      </c>
      <c r="H123" s="24">
        <f t="shared" si="28"/>
        <v>99.73</v>
      </c>
      <c r="I123" s="24">
        <v>830</v>
      </c>
      <c r="J123" s="24">
        <f t="shared" si="28"/>
        <v>1.58</v>
      </c>
      <c r="K123" s="24">
        <f t="shared" si="28"/>
        <v>5.5699999999999994</v>
      </c>
      <c r="L123" s="24">
        <f t="shared" si="28"/>
        <v>41.620000000000005</v>
      </c>
      <c r="M123" s="24">
        <f t="shared" si="28"/>
        <v>133.01</v>
      </c>
      <c r="N123" s="24">
        <f t="shared" si="28"/>
        <v>0.7</v>
      </c>
      <c r="O123" s="24"/>
      <c r="P123" s="24">
        <f t="shared" si="28"/>
        <v>204.95</v>
      </c>
      <c r="Q123" s="24">
        <f t="shared" si="28"/>
        <v>483.7</v>
      </c>
      <c r="R123" s="24">
        <f t="shared" si="28"/>
        <v>146.19999999999999</v>
      </c>
      <c r="S123" s="24">
        <f t="shared" si="28"/>
        <v>9.17</v>
      </c>
    </row>
    <row r="124" spans="1:19" ht="14.25" customHeight="1" thickBot="1">
      <c r="B124" s="1"/>
      <c r="C124" s="13" t="s">
        <v>48</v>
      </c>
      <c r="D124" s="20"/>
      <c r="E124" s="159">
        <v>910</v>
      </c>
      <c r="F124" s="24">
        <f>F117+F118+F120+F121+F122+F115</f>
        <v>26.35</v>
      </c>
      <c r="G124" s="24">
        <f t="shared" ref="G124:S124" si="29">G117+G118+G120+G121+G122+G115</f>
        <v>39.97</v>
      </c>
      <c r="H124" s="24">
        <f t="shared" si="29"/>
        <v>97.55</v>
      </c>
      <c r="I124" s="24">
        <v>857</v>
      </c>
      <c r="J124" s="24">
        <f t="shared" si="29"/>
        <v>1.6300000000000001</v>
      </c>
      <c r="K124" s="24">
        <f t="shared" si="29"/>
        <v>6.7299999999999995</v>
      </c>
      <c r="L124" s="24">
        <f t="shared" si="29"/>
        <v>41.82</v>
      </c>
      <c r="M124" s="24">
        <f t="shared" si="29"/>
        <v>133.01</v>
      </c>
      <c r="N124" s="24">
        <f t="shared" si="29"/>
        <v>0.7</v>
      </c>
      <c r="O124" s="24"/>
      <c r="P124" s="24">
        <f t="shared" si="29"/>
        <v>212.8</v>
      </c>
      <c r="Q124" s="24">
        <f t="shared" si="29"/>
        <v>501.2</v>
      </c>
      <c r="R124" s="24">
        <f t="shared" si="29"/>
        <v>153.30000000000001</v>
      </c>
      <c r="S124" s="24">
        <f t="shared" si="29"/>
        <v>9.2199999999999989</v>
      </c>
    </row>
    <row r="125" spans="1:19" ht="15" customHeight="1" thickBot="1">
      <c r="B125" s="1"/>
      <c r="C125" s="183" t="s">
        <v>46</v>
      </c>
      <c r="D125" s="85"/>
      <c r="E125" s="13"/>
      <c r="F125" s="18">
        <f t="shared" ref="F125:I126" si="30">F123+F112</f>
        <v>31.490000000000002</v>
      </c>
      <c r="G125" s="18">
        <f t="shared" si="30"/>
        <v>50.96</v>
      </c>
      <c r="H125" s="18">
        <f t="shared" si="30"/>
        <v>137.01</v>
      </c>
      <c r="I125" s="18">
        <f t="shared" si="30"/>
        <v>1095</v>
      </c>
      <c r="J125" s="18">
        <f t="shared" ref="J125:S125" si="31">J123+J112</f>
        <v>1.6800000000000002</v>
      </c>
      <c r="K125" s="18">
        <f t="shared" si="31"/>
        <v>6.3699999999999992</v>
      </c>
      <c r="L125" s="18">
        <f t="shared" si="31"/>
        <v>42.400000000000006</v>
      </c>
      <c r="M125" s="18">
        <f t="shared" si="31"/>
        <v>206.01</v>
      </c>
      <c r="N125" s="18"/>
      <c r="O125" s="18"/>
      <c r="P125" s="18">
        <f t="shared" si="31"/>
        <v>384.85</v>
      </c>
      <c r="Q125" s="18">
        <f t="shared" si="31"/>
        <v>629.28</v>
      </c>
      <c r="R125" s="18">
        <f t="shared" si="31"/>
        <v>175.17999999999998</v>
      </c>
      <c r="S125" s="18">
        <f t="shared" si="31"/>
        <v>10.32</v>
      </c>
    </row>
    <row r="126" spans="1:19" ht="15.75" customHeight="1" thickBot="1">
      <c r="B126" s="1"/>
      <c r="C126" s="183"/>
      <c r="D126" s="85"/>
      <c r="E126" s="13"/>
      <c r="F126" s="18">
        <f t="shared" si="30"/>
        <v>32.58</v>
      </c>
      <c r="G126" s="18">
        <f t="shared" si="30"/>
        <v>52.01</v>
      </c>
      <c r="H126" s="18">
        <f t="shared" si="30"/>
        <v>134.82999999999998</v>
      </c>
      <c r="I126" s="18">
        <f t="shared" si="30"/>
        <v>1122</v>
      </c>
      <c r="J126" s="18">
        <f t="shared" ref="J126:S126" si="32">J124+J113</f>
        <v>1.7300000000000002</v>
      </c>
      <c r="K126" s="18">
        <f t="shared" si="32"/>
        <v>7.5299999999999994</v>
      </c>
      <c r="L126" s="18">
        <f t="shared" si="32"/>
        <v>42.6</v>
      </c>
      <c r="M126" s="18">
        <f t="shared" si="32"/>
        <v>206.01</v>
      </c>
      <c r="N126" s="18"/>
      <c r="O126" s="18"/>
      <c r="P126" s="18">
        <f t="shared" si="32"/>
        <v>392.70000000000005</v>
      </c>
      <c r="Q126" s="18">
        <f t="shared" si="32"/>
        <v>646.78</v>
      </c>
      <c r="R126" s="18">
        <f t="shared" si="32"/>
        <v>182.28</v>
      </c>
      <c r="S126" s="18">
        <f t="shared" si="32"/>
        <v>10.37</v>
      </c>
    </row>
    <row r="127" spans="1:19" ht="16.5" thickBot="1">
      <c r="B127" s="185" t="s">
        <v>33</v>
      </c>
      <c r="C127" s="186"/>
      <c r="D127" s="186"/>
      <c r="E127" s="186"/>
      <c r="F127" s="186"/>
      <c r="G127" s="186"/>
      <c r="H127" s="186"/>
      <c r="I127" s="188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9" ht="30" customHeight="1" thickBot="1">
      <c r="A128" s="9">
        <v>3</v>
      </c>
      <c r="B128" s="197" t="s">
        <v>6</v>
      </c>
      <c r="C128" s="145" t="s">
        <v>118</v>
      </c>
      <c r="D128" s="145" t="s">
        <v>68</v>
      </c>
      <c r="E128" s="162">
        <v>50</v>
      </c>
      <c r="F128" s="36">
        <v>5.8</v>
      </c>
      <c r="G128" s="36">
        <v>8.3000000000000007</v>
      </c>
      <c r="H128" s="36">
        <v>14.83</v>
      </c>
      <c r="I128" s="37">
        <v>157</v>
      </c>
      <c r="J128" s="52">
        <v>0.04</v>
      </c>
      <c r="K128" s="52">
        <f>0.3*80/100</f>
        <v>0.24</v>
      </c>
      <c r="L128" s="52">
        <v>0.11</v>
      </c>
      <c r="M128" s="53">
        <v>59</v>
      </c>
      <c r="N128" s="58"/>
      <c r="O128" s="27"/>
      <c r="P128" s="64">
        <v>139.19999999999999</v>
      </c>
      <c r="Q128" s="53">
        <v>96</v>
      </c>
      <c r="R128" s="53">
        <v>9.4499999999999993</v>
      </c>
      <c r="S128" s="53">
        <v>0.49</v>
      </c>
    </row>
    <row r="129" spans="1:19" ht="16.5" thickBot="1">
      <c r="A129" s="9">
        <v>250</v>
      </c>
      <c r="B129" s="198"/>
      <c r="C129" s="190" t="s">
        <v>14</v>
      </c>
      <c r="D129" s="73" t="s">
        <v>47</v>
      </c>
      <c r="E129" s="162">
        <v>200</v>
      </c>
      <c r="F129" s="145">
        <v>7.74</v>
      </c>
      <c r="G129" s="145">
        <v>11.82</v>
      </c>
      <c r="H129" s="145">
        <v>35.54</v>
      </c>
      <c r="I129" s="143">
        <v>279</v>
      </c>
      <c r="J129" s="146">
        <v>0.08</v>
      </c>
      <c r="K129" s="146">
        <v>1.42</v>
      </c>
      <c r="L129" s="146"/>
      <c r="M129" s="146">
        <v>0.08</v>
      </c>
      <c r="N129" s="146">
        <v>0.76</v>
      </c>
      <c r="O129" s="27"/>
      <c r="P129" s="146">
        <v>140.6</v>
      </c>
      <c r="Q129" s="146">
        <v>136.4</v>
      </c>
      <c r="R129" s="146">
        <v>23</v>
      </c>
      <c r="S129" s="146">
        <v>0.56000000000000005</v>
      </c>
    </row>
    <row r="130" spans="1:19" ht="16.5" thickBot="1">
      <c r="B130" s="198"/>
      <c r="C130" s="191"/>
      <c r="D130" s="74" t="s">
        <v>76</v>
      </c>
      <c r="E130" s="162">
        <v>250</v>
      </c>
      <c r="F130" s="145">
        <v>9.68</v>
      </c>
      <c r="G130" s="145">
        <v>14.78</v>
      </c>
      <c r="H130" s="145">
        <v>44.43</v>
      </c>
      <c r="I130" s="143">
        <v>349</v>
      </c>
      <c r="J130" s="146">
        <v>0.11</v>
      </c>
      <c r="K130" s="146">
        <v>1.78</v>
      </c>
      <c r="L130" s="146"/>
      <c r="M130" s="146">
        <v>0.1</v>
      </c>
      <c r="N130" s="146">
        <v>0.95</v>
      </c>
      <c r="O130" s="27"/>
      <c r="P130" s="146">
        <v>175.75</v>
      </c>
      <c r="Q130" s="146">
        <v>170.5</v>
      </c>
      <c r="R130" s="146">
        <v>28.75</v>
      </c>
      <c r="S130" s="146">
        <v>0.7</v>
      </c>
    </row>
    <row r="131" spans="1:19" ht="27.75" customHeight="1" thickBot="1">
      <c r="A131" s="9">
        <v>400</v>
      </c>
      <c r="B131" s="199"/>
      <c r="C131" s="4" t="s">
        <v>34</v>
      </c>
      <c r="D131" s="73" t="s">
        <v>78</v>
      </c>
      <c r="E131" s="165">
        <v>200</v>
      </c>
      <c r="F131" s="6">
        <v>6.09</v>
      </c>
      <c r="G131" s="6">
        <v>5.42</v>
      </c>
      <c r="H131" s="6">
        <v>10.08</v>
      </c>
      <c r="I131" s="98">
        <v>113</v>
      </c>
      <c r="J131" s="72">
        <v>0.09</v>
      </c>
      <c r="K131" s="72">
        <v>2.73</v>
      </c>
      <c r="L131" s="72">
        <v>0.4</v>
      </c>
      <c r="M131" s="72">
        <v>42</v>
      </c>
      <c r="N131" s="72"/>
      <c r="O131" s="27"/>
      <c r="P131" s="72">
        <v>252</v>
      </c>
      <c r="Q131" s="72">
        <v>189</v>
      </c>
      <c r="R131" s="72">
        <v>29.4</v>
      </c>
      <c r="S131" s="27">
        <v>0.21</v>
      </c>
    </row>
    <row r="132" spans="1:19" s="111" customFormat="1" ht="25.5" customHeight="1" thickBot="1">
      <c r="A132" s="111">
        <v>112</v>
      </c>
      <c r="B132" s="157"/>
      <c r="C132" s="154" t="s">
        <v>71</v>
      </c>
      <c r="D132" s="129" t="s">
        <v>101</v>
      </c>
      <c r="E132" s="166">
        <v>100</v>
      </c>
      <c r="F132" s="3">
        <v>0.4</v>
      </c>
      <c r="G132" s="3">
        <v>0.3</v>
      </c>
      <c r="H132" s="3">
        <v>10.3</v>
      </c>
      <c r="I132" s="155">
        <v>47</v>
      </c>
      <c r="J132" s="160">
        <v>0.02</v>
      </c>
      <c r="K132" s="160">
        <v>0.03</v>
      </c>
      <c r="L132" s="160">
        <v>5</v>
      </c>
      <c r="M132" s="160"/>
      <c r="N132" s="160"/>
      <c r="O132" s="27"/>
      <c r="P132" s="160">
        <v>19</v>
      </c>
      <c r="Q132" s="160">
        <v>16</v>
      </c>
      <c r="R132" s="160">
        <v>12</v>
      </c>
      <c r="S132" s="160">
        <v>2.2999999999999998</v>
      </c>
    </row>
    <row r="133" spans="1:19" ht="14.25" customHeight="1" thickBot="1">
      <c r="B133" s="5"/>
      <c r="C133" s="20" t="s">
        <v>47</v>
      </c>
      <c r="D133" s="34"/>
      <c r="E133" s="165">
        <v>550</v>
      </c>
      <c r="F133" s="23">
        <v>20</v>
      </c>
      <c r="G133" s="23">
        <v>25.8</v>
      </c>
      <c r="H133" s="23">
        <v>70.8</v>
      </c>
      <c r="I133" s="23">
        <v>596</v>
      </c>
      <c r="J133" s="23">
        <f t="shared" ref="J133:M133" si="33">J128+J129+J131</f>
        <v>0.21</v>
      </c>
      <c r="K133" s="23">
        <f t="shared" si="33"/>
        <v>4.3899999999999997</v>
      </c>
      <c r="L133" s="23">
        <v>5.5</v>
      </c>
      <c r="M133" s="23">
        <f t="shared" si="33"/>
        <v>101.08</v>
      </c>
      <c r="N133" s="23"/>
      <c r="O133" s="23"/>
      <c r="P133" s="23">
        <v>550.79999999999995</v>
      </c>
      <c r="Q133" s="23">
        <v>437.4</v>
      </c>
      <c r="R133" s="23">
        <v>73.900000000000006</v>
      </c>
      <c r="S133" s="23">
        <v>4.5999999999999996</v>
      </c>
    </row>
    <row r="134" spans="1:19" ht="15.75" customHeight="1" thickBot="1">
      <c r="B134" s="5"/>
      <c r="C134" s="13" t="s">
        <v>48</v>
      </c>
      <c r="D134" s="34"/>
      <c r="E134" s="165">
        <v>600</v>
      </c>
      <c r="F134" s="23">
        <v>22</v>
      </c>
      <c r="G134" s="23">
        <v>28.8</v>
      </c>
      <c r="H134" s="23">
        <v>79.3</v>
      </c>
      <c r="I134" s="23">
        <v>666</v>
      </c>
      <c r="J134" s="23">
        <f t="shared" ref="J134:M134" si="34">J128+J130+J131</f>
        <v>0.24</v>
      </c>
      <c r="K134" s="23">
        <f t="shared" si="34"/>
        <v>4.75</v>
      </c>
      <c r="L134" s="23">
        <v>5.5</v>
      </c>
      <c r="M134" s="23">
        <f t="shared" si="34"/>
        <v>101.1</v>
      </c>
      <c r="N134" s="23"/>
      <c r="O134" s="23"/>
      <c r="P134" s="23">
        <v>586</v>
      </c>
      <c r="Q134" s="23">
        <v>471.5</v>
      </c>
      <c r="R134" s="23">
        <v>79.599999999999994</v>
      </c>
      <c r="S134" s="23">
        <v>3.7</v>
      </c>
    </row>
    <row r="135" spans="1:19" ht="13.5" hidden="1" customHeight="1">
      <c r="A135" s="9">
        <v>230</v>
      </c>
      <c r="B135" s="197" t="s">
        <v>9</v>
      </c>
      <c r="C135" s="147" t="s">
        <v>103</v>
      </c>
      <c r="D135" s="73" t="s">
        <v>104</v>
      </c>
      <c r="E135" s="3">
        <v>60</v>
      </c>
      <c r="F135" s="3">
        <v>0.74</v>
      </c>
      <c r="G135" s="3">
        <v>0.05</v>
      </c>
      <c r="H135" s="3">
        <v>1.56</v>
      </c>
      <c r="I135" s="144">
        <v>9.6</v>
      </c>
      <c r="J135" s="40">
        <v>0.03</v>
      </c>
      <c r="K135" s="40">
        <v>2.4</v>
      </c>
      <c r="L135" s="40">
        <v>0</v>
      </c>
      <c r="M135" s="40">
        <v>0</v>
      </c>
      <c r="N135" s="40">
        <v>0</v>
      </c>
      <c r="O135" s="111"/>
      <c r="P135" s="40">
        <v>4.8</v>
      </c>
      <c r="Q135" s="40">
        <v>14.88</v>
      </c>
      <c r="R135" s="38">
        <v>5.04</v>
      </c>
      <c r="S135" s="38">
        <v>0.17</v>
      </c>
    </row>
    <row r="136" spans="1:19" ht="33.75" customHeight="1" thickBot="1">
      <c r="A136" s="9">
        <v>131</v>
      </c>
      <c r="B136" s="198"/>
      <c r="C136" s="161" t="s">
        <v>103</v>
      </c>
      <c r="D136" s="73" t="s">
        <v>131</v>
      </c>
      <c r="E136" s="166">
        <v>100</v>
      </c>
      <c r="F136" s="3">
        <v>0.74</v>
      </c>
      <c r="G136" s="3">
        <v>0.05</v>
      </c>
      <c r="H136" s="3">
        <v>1.56</v>
      </c>
      <c r="I136" s="155">
        <v>9.6</v>
      </c>
      <c r="J136" s="40">
        <v>0.03</v>
      </c>
      <c r="K136" s="40">
        <v>2.4</v>
      </c>
      <c r="L136" s="40">
        <v>0</v>
      </c>
      <c r="M136" s="40">
        <v>0</v>
      </c>
      <c r="N136" s="40">
        <v>0</v>
      </c>
      <c r="O136" s="111"/>
      <c r="P136" s="40">
        <v>4.8</v>
      </c>
      <c r="Q136" s="40">
        <v>14.88</v>
      </c>
      <c r="R136" s="38">
        <v>5.04</v>
      </c>
      <c r="S136" s="38">
        <v>0.17</v>
      </c>
    </row>
    <row r="137" spans="1:19" ht="26.25" customHeight="1" thickBot="1">
      <c r="A137" s="9">
        <v>80</v>
      </c>
      <c r="B137" s="198"/>
      <c r="C137" s="189" t="s">
        <v>127</v>
      </c>
      <c r="D137" s="118" t="s">
        <v>47</v>
      </c>
      <c r="E137" s="165">
        <v>200</v>
      </c>
      <c r="F137" s="42">
        <v>8.32</v>
      </c>
      <c r="G137" s="42">
        <v>7.05</v>
      </c>
      <c r="H137" s="42">
        <v>17.14</v>
      </c>
      <c r="I137" s="42">
        <v>166</v>
      </c>
      <c r="J137" s="42">
        <v>0.13</v>
      </c>
      <c r="K137" s="42">
        <v>8.6</v>
      </c>
      <c r="L137" s="91">
        <f>3.3*250/100</f>
        <v>8.25</v>
      </c>
      <c r="M137" s="42">
        <v>10</v>
      </c>
      <c r="N137" s="42"/>
      <c r="O137" s="111"/>
      <c r="P137" s="42">
        <v>34.35</v>
      </c>
      <c r="Q137" s="42">
        <v>121.7</v>
      </c>
      <c r="R137" s="42">
        <v>33.25</v>
      </c>
      <c r="S137" s="42">
        <v>1.7</v>
      </c>
    </row>
    <row r="138" spans="1:19" ht="21.75" customHeight="1" thickBot="1">
      <c r="B138" s="198"/>
      <c r="C138" s="185"/>
      <c r="D138" s="118" t="s">
        <v>76</v>
      </c>
      <c r="E138" s="165">
        <v>250</v>
      </c>
      <c r="F138" s="42">
        <v>8.32</v>
      </c>
      <c r="G138" s="42">
        <v>7.05</v>
      </c>
      <c r="H138" s="42">
        <v>17.14</v>
      </c>
      <c r="I138" s="42">
        <v>166</v>
      </c>
      <c r="J138" s="42">
        <v>0.13</v>
      </c>
      <c r="K138" s="42">
        <v>8.6</v>
      </c>
      <c r="L138" s="91">
        <f>3.3*250/100</f>
        <v>8.25</v>
      </c>
      <c r="M138" s="42">
        <v>10</v>
      </c>
      <c r="N138" s="42"/>
      <c r="O138" s="111"/>
      <c r="P138" s="42">
        <v>34.35</v>
      </c>
      <c r="Q138" s="42">
        <v>121.7</v>
      </c>
      <c r="R138" s="42">
        <v>33.25</v>
      </c>
      <c r="S138" s="42">
        <v>1.7</v>
      </c>
    </row>
    <row r="139" spans="1:19" ht="30.75" customHeight="1" thickBot="1">
      <c r="A139" s="9">
        <v>332</v>
      </c>
      <c r="B139" s="198"/>
      <c r="C139" s="139" t="s">
        <v>17</v>
      </c>
      <c r="D139" s="74" t="s">
        <v>93</v>
      </c>
      <c r="E139" s="162">
        <v>120</v>
      </c>
      <c r="F139" s="145">
        <v>17.149999999999999</v>
      </c>
      <c r="G139" s="145">
        <v>7.42</v>
      </c>
      <c r="H139" s="145">
        <v>0.82</v>
      </c>
      <c r="I139" s="143">
        <v>138</v>
      </c>
      <c r="J139" s="146">
        <v>0.06</v>
      </c>
      <c r="K139" s="146">
        <v>0.47</v>
      </c>
      <c r="L139" s="146"/>
      <c r="M139" s="146">
        <v>43.64</v>
      </c>
      <c r="N139" s="146"/>
      <c r="O139" s="27"/>
      <c r="P139" s="146">
        <v>14.55</v>
      </c>
      <c r="Q139" s="146">
        <v>197.82</v>
      </c>
      <c r="R139" s="146">
        <v>41.65</v>
      </c>
      <c r="S139" s="146">
        <v>0.82</v>
      </c>
    </row>
    <row r="140" spans="1:19" ht="21" customHeight="1" thickBot="1">
      <c r="A140" s="9">
        <v>125</v>
      </c>
      <c r="B140" s="198"/>
      <c r="C140" s="190" t="s">
        <v>80</v>
      </c>
      <c r="D140" s="73" t="s">
        <v>47</v>
      </c>
      <c r="E140" s="165">
        <v>200</v>
      </c>
      <c r="F140" s="40">
        <v>3.94</v>
      </c>
      <c r="G140" s="40">
        <v>7.73</v>
      </c>
      <c r="H140" s="40">
        <v>27.13</v>
      </c>
      <c r="I140" s="37">
        <v>205</v>
      </c>
      <c r="J140" s="40">
        <v>0.21</v>
      </c>
      <c r="K140" s="40">
        <v>28.15</v>
      </c>
      <c r="L140" s="40">
        <f>14.5*180/100</f>
        <v>26.1</v>
      </c>
      <c r="M140" s="40">
        <v>20</v>
      </c>
      <c r="N140" s="40"/>
      <c r="O140" s="111"/>
      <c r="P140" s="40">
        <v>26.67</v>
      </c>
      <c r="Q140" s="40">
        <v>108.92</v>
      </c>
      <c r="R140" s="40">
        <v>39.67</v>
      </c>
      <c r="S140" s="40">
        <v>1.6</v>
      </c>
    </row>
    <row r="141" spans="1:19" ht="18" customHeight="1" thickBot="1">
      <c r="B141" s="198"/>
      <c r="C141" s="191"/>
      <c r="D141" s="74" t="s">
        <v>51</v>
      </c>
      <c r="E141" s="162">
        <v>200</v>
      </c>
      <c r="F141" s="40">
        <v>3.94</v>
      </c>
      <c r="G141" s="40">
        <v>7.73</v>
      </c>
      <c r="H141" s="40">
        <v>27.13</v>
      </c>
      <c r="I141" s="37">
        <v>205</v>
      </c>
      <c r="J141" s="40">
        <v>0.21</v>
      </c>
      <c r="K141" s="40">
        <v>28.15</v>
      </c>
      <c r="L141" s="40">
        <f>14.5*180/100</f>
        <v>26.1</v>
      </c>
      <c r="M141" s="40">
        <v>20</v>
      </c>
      <c r="N141" s="40"/>
      <c r="O141" s="111"/>
      <c r="P141" s="40">
        <v>26.67</v>
      </c>
      <c r="Q141" s="40">
        <v>108.92</v>
      </c>
      <c r="R141" s="40">
        <v>39.67</v>
      </c>
      <c r="S141" s="40">
        <v>1.6</v>
      </c>
    </row>
    <row r="142" spans="1:19" ht="33.75" customHeight="1" thickBot="1">
      <c r="A142" s="9">
        <v>376</v>
      </c>
      <c r="B142" s="198"/>
      <c r="C142" s="145" t="s">
        <v>22</v>
      </c>
      <c r="D142" s="145" t="s">
        <v>72</v>
      </c>
      <c r="E142" s="162">
        <v>200</v>
      </c>
      <c r="F142" s="40">
        <v>0.4</v>
      </c>
      <c r="G142" s="40"/>
      <c r="H142" s="40">
        <v>37.799999999999997</v>
      </c>
      <c r="I142" s="40">
        <v>113</v>
      </c>
      <c r="J142" s="40">
        <v>0</v>
      </c>
      <c r="K142" s="40">
        <v>0.4</v>
      </c>
      <c r="L142" s="40">
        <v>0</v>
      </c>
      <c r="M142" s="40">
        <v>0</v>
      </c>
      <c r="N142" s="40"/>
      <c r="O142" s="111"/>
      <c r="P142" s="40">
        <v>31.8</v>
      </c>
      <c r="Q142" s="40">
        <v>15.4</v>
      </c>
      <c r="R142" s="40">
        <v>6</v>
      </c>
      <c r="S142" s="40">
        <v>1.2</v>
      </c>
    </row>
    <row r="143" spans="1:19" ht="25.5" customHeight="1" thickBot="1">
      <c r="A143" s="9">
        <v>109</v>
      </c>
      <c r="B143" s="198"/>
      <c r="C143" s="145" t="s">
        <v>11</v>
      </c>
      <c r="D143" s="125" t="s">
        <v>68</v>
      </c>
      <c r="E143" s="162">
        <v>50</v>
      </c>
      <c r="F143" s="145">
        <v>3.3</v>
      </c>
      <c r="G143" s="145">
        <v>0.6</v>
      </c>
      <c r="H143" s="145">
        <v>16.7</v>
      </c>
      <c r="I143" s="145">
        <v>87</v>
      </c>
      <c r="J143" s="144">
        <v>0.9</v>
      </c>
      <c r="K143" s="144">
        <v>0.02</v>
      </c>
      <c r="L143" s="144"/>
      <c r="M143" s="144"/>
      <c r="N143" s="144">
        <v>0.7</v>
      </c>
      <c r="O143" s="146"/>
      <c r="P143" s="144">
        <v>35</v>
      </c>
      <c r="Q143" s="144">
        <v>158</v>
      </c>
      <c r="R143" s="144">
        <v>47</v>
      </c>
      <c r="S143" s="39">
        <v>3.9</v>
      </c>
    </row>
    <row r="144" spans="1:19" ht="24.75" customHeight="1" thickBot="1">
      <c r="B144" s="199"/>
      <c r="C144" s="109"/>
      <c r="D144" s="129"/>
      <c r="E144" s="166"/>
      <c r="F144" s="3"/>
      <c r="G144" s="3"/>
      <c r="H144" s="3"/>
      <c r="I144" s="16"/>
      <c r="J144" s="72"/>
      <c r="K144" s="72"/>
      <c r="L144" s="72"/>
      <c r="M144" s="72"/>
      <c r="N144" s="72"/>
      <c r="O144" s="27"/>
      <c r="P144" s="72"/>
      <c r="Q144" s="72"/>
      <c r="R144" s="72"/>
      <c r="S144" s="72"/>
    </row>
    <row r="145" spans="1:19" ht="16.5" thickBot="1">
      <c r="B145" s="1"/>
      <c r="C145" s="20" t="s">
        <v>47</v>
      </c>
      <c r="D145" s="20"/>
      <c r="E145" s="159">
        <v>770</v>
      </c>
      <c r="F145" s="24">
        <f>F135+F137+F139+F140+F142+F143+F144</f>
        <v>33.85</v>
      </c>
      <c r="G145" s="24">
        <f t="shared" ref="G145:H145" si="35">G135+G137+G139+G140+G142+G143+G144</f>
        <v>22.85</v>
      </c>
      <c r="H145" s="24">
        <f t="shared" si="35"/>
        <v>101.14999999999999</v>
      </c>
      <c r="I145" s="99">
        <f>I135+I137+I139+I140+I142+I143+I144</f>
        <v>718.6</v>
      </c>
      <c r="J145" s="99">
        <f t="shared" ref="J145:S145" si="36">J135+J137+J139+J140+J142+J143+J144</f>
        <v>1.33</v>
      </c>
      <c r="K145" s="99">
        <f t="shared" si="36"/>
        <v>40.04</v>
      </c>
      <c r="L145" s="99">
        <f t="shared" si="36"/>
        <v>34.35</v>
      </c>
      <c r="M145" s="99">
        <f t="shared" si="36"/>
        <v>73.64</v>
      </c>
      <c r="N145" s="99">
        <f t="shared" si="36"/>
        <v>0.7</v>
      </c>
      <c r="O145" s="99"/>
      <c r="P145" s="99">
        <f t="shared" si="36"/>
        <v>147.17000000000002</v>
      </c>
      <c r="Q145" s="99">
        <f t="shared" si="36"/>
        <v>616.72</v>
      </c>
      <c r="R145" s="99">
        <f t="shared" si="36"/>
        <v>172.61</v>
      </c>
      <c r="S145" s="24">
        <f t="shared" si="36"/>
        <v>9.39</v>
      </c>
    </row>
    <row r="146" spans="1:19" ht="16.5" thickBot="1">
      <c r="B146" s="1"/>
      <c r="C146" s="13" t="s">
        <v>48</v>
      </c>
      <c r="D146" s="13"/>
      <c r="E146" s="159">
        <v>920</v>
      </c>
      <c r="F146" s="24">
        <f>F136+F138+F139+F141+F142+F143+F144</f>
        <v>33.85</v>
      </c>
      <c r="G146" s="24">
        <f t="shared" ref="G146:S146" si="37">G136+G138+G139+G141+G142+G143+G144</f>
        <v>22.85</v>
      </c>
      <c r="H146" s="24">
        <f t="shared" si="37"/>
        <v>101.14999999999999</v>
      </c>
      <c r="I146" s="99">
        <f t="shared" si="37"/>
        <v>718.6</v>
      </c>
      <c r="J146" s="99">
        <f t="shared" si="37"/>
        <v>1.33</v>
      </c>
      <c r="K146" s="99">
        <f t="shared" si="37"/>
        <v>40.04</v>
      </c>
      <c r="L146" s="99">
        <f t="shared" si="37"/>
        <v>34.35</v>
      </c>
      <c r="M146" s="99">
        <f t="shared" si="37"/>
        <v>73.64</v>
      </c>
      <c r="N146" s="99">
        <f t="shared" si="37"/>
        <v>0.7</v>
      </c>
      <c r="O146" s="99"/>
      <c r="P146" s="99">
        <f t="shared" si="37"/>
        <v>147.17000000000002</v>
      </c>
      <c r="Q146" s="99">
        <f t="shared" si="37"/>
        <v>616.72</v>
      </c>
      <c r="R146" s="99">
        <f t="shared" si="37"/>
        <v>172.61</v>
      </c>
      <c r="S146" s="99">
        <f t="shared" si="37"/>
        <v>9.39</v>
      </c>
    </row>
    <row r="147" spans="1:19" ht="16.5" thickBot="1">
      <c r="B147" s="1"/>
      <c r="C147" s="183" t="s">
        <v>46</v>
      </c>
      <c r="D147" s="21"/>
      <c r="E147" s="13"/>
      <c r="F147" s="18">
        <f>F133+F145</f>
        <v>53.85</v>
      </c>
      <c r="G147" s="18">
        <f t="shared" ref="G147:S147" si="38">G133+G145</f>
        <v>48.650000000000006</v>
      </c>
      <c r="H147" s="18">
        <f t="shared" si="38"/>
        <v>171.95</v>
      </c>
      <c r="I147" s="100">
        <f t="shared" si="38"/>
        <v>1314.6</v>
      </c>
      <c r="J147" s="100">
        <f t="shared" si="38"/>
        <v>1.54</v>
      </c>
      <c r="K147" s="100">
        <f t="shared" si="38"/>
        <v>44.43</v>
      </c>
      <c r="L147" s="100">
        <f t="shared" si="38"/>
        <v>39.85</v>
      </c>
      <c r="M147" s="100">
        <f t="shared" si="38"/>
        <v>174.72</v>
      </c>
      <c r="N147" s="100">
        <f t="shared" si="38"/>
        <v>0.7</v>
      </c>
      <c r="O147" s="100"/>
      <c r="P147" s="100">
        <f t="shared" si="38"/>
        <v>697.97</v>
      </c>
      <c r="Q147" s="130">
        <f t="shared" si="38"/>
        <v>1054.1199999999999</v>
      </c>
      <c r="R147" s="100">
        <f t="shared" si="38"/>
        <v>246.51000000000002</v>
      </c>
      <c r="S147" s="100">
        <f t="shared" si="38"/>
        <v>13.99</v>
      </c>
    </row>
    <row r="148" spans="1:19" ht="16.5" thickBot="1">
      <c r="B148" s="1"/>
      <c r="C148" s="183"/>
      <c r="D148" s="21"/>
      <c r="E148" s="13"/>
      <c r="F148" s="18">
        <f>F134+F146</f>
        <v>55.85</v>
      </c>
      <c r="G148" s="18">
        <f t="shared" ref="G148:S148" si="39">G134+G146</f>
        <v>51.650000000000006</v>
      </c>
      <c r="H148" s="18">
        <f t="shared" si="39"/>
        <v>180.45</v>
      </c>
      <c r="I148" s="100">
        <f t="shared" si="39"/>
        <v>1384.6</v>
      </c>
      <c r="J148" s="100">
        <f t="shared" si="39"/>
        <v>1.57</v>
      </c>
      <c r="K148" s="100">
        <f t="shared" si="39"/>
        <v>44.79</v>
      </c>
      <c r="L148" s="100">
        <f t="shared" si="39"/>
        <v>39.85</v>
      </c>
      <c r="M148" s="100">
        <f t="shared" si="39"/>
        <v>174.74</v>
      </c>
      <c r="N148" s="100">
        <f t="shared" si="39"/>
        <v>0.7</v>
      </c>
      <c r="O148" s="100"/>
      <c r="P148" s="100">
        <f t="shared" si="39"/>
        <v>733.17000000000007</v>
      </c>
      <c r="Q148" s="130">
        <f t="shared" si="39"/>
        <v>1088.22</v>
      </c>
      <c r="R148" s="100">
        <f t="shared" si="39"/>
        <v>252.21</v>
      </c>
      <c r="S148" s="100">
        <f t="shared" si="39"/>
        <v>13.09</v>
      </c>
    </row>
    <row r="149" spans="1:19" ht="16.5" thickBot="1">
      <c r="B149" s="185" t="s">
        <v>35</v>
      </c>
      <c r="C149" s="186"/>
      <c r="D149" s="186"/>
      <c r="E149" s="186"/>
      <c r="F149" s="186"/>
      <c r="G149" s="186"/>
      <c r="H149" s="186"/>
      <c r="I149" s="186"/>
      <c r="J149" s="72"/>
      <c r="K149" s="72"/>
      <c r="L149" s="72"/>
      <c r="M149" s="72"/>
      <c r="N149" s="72"/>
      <c r="O149" s="72"/>
      <c r="P149" s="72"/>
      <c r="Q149" s="72"/>
      <c r="R149" s="72"/>
      <c r="S149" s="27"/>
    </row>
    <row r="150" spans="1:19" ht="28.5" customHeight="1" thickBot="1">
      <c r="A150" s="9">
        <v>300</v>
      </c>
      <c r="B150" s="197" t="s">
        <v>13</v>
      </c>
      <c r="C150" s="145" t="s">
        <v>15</v>
      </c>
      <c r="D150" s="74" t="s">
        <v>77</v>
      </c>
      <c r="E150" s="162">
        <v>40</v>
      </c>
      <c r="F150" s="3">
        <v>5.0999999999999996</v>
      </c>
      <c r="G150" s="3">
        <v>4.5999999999999996</v>
      </c>
      <c r="H150" s="3">
        <v>0.3</v>
      </c>
      <c r="I150" s="144">
        <v>63</v>
      </c>
      <c r="J150" s="146">
        <v>0.03</v>
      </c>
      <c r="K150" s="146">
        <v>0</v>
      </c>
      <c r="L150" s="146"/>
      <c r="M150" s="146">
        <v>0.1</v>
      </c>
      <c r="N150" s="146">
        <v>0.2</v>
      </c>
      <c r="O150" s="146"/>
      <c r="P150" s="146">
        <v>22</v>
      </c>
      <c r="Q150" s="146">
        <v>77</v>
      </c>
      <c r="R150" s="146">
        <v>5</v>
      </c>
      <c r="S150" s="54">
        <v>1</v>
      </c>
    </row>
    <row r="151" spans="1:19" ht="18" customHeight="1" thickBot="1">
      <c r="A151" s="9">
        <v>313</v>
      </c>
      <c r="B151" s="198"/>
      <c r="C151" s="230" t="s">
        <v>36</v>
      </c>
      <c r="D151" s="131" t="s">
        <v>47</v>
      </c>
      <c r="E151" s="165">
        <v>200</v>
      </c>
      <c r="F151" s="40">
        <v>35</v>
      </c>
      <c r="G151" s="40">
        <v>31.03</v>
      </c>
      <c r="H151" s="40">
        <v>31.966000000000001</v>
      </c>
      <c r="I151" s="37">
        <v>425</v>
      </c>
      <c r="J151" s="40">
        <v>0.1</v>
      </c>
      <c r="K151" s="40">
        <v>0.48</v>
      </c>
      <c r="L151" s="40">
        <v>0.6</v>
      </c>
      <c r="M151" s="40">
        <v>40</v>
      </c>
      <c r="N151" s="40"/>
      <c r="O151" s="111"/>
      <c r="P151" s="40">
        <v>226</v>
      </c>
      <c r="Q151" s="40">
        <v>366</v>
      </c>
      <c r="R151" s="40">
        <v>46</v>
      </c>
      <c r="S151" s="40">
        <v>1</v>
      </c>
    </row>
    <row r="152" spans="1:19" ht="19.5" customHeight="1" thickBot="1">
      <c r="B152" s="198"/>
      <c r="C152" s="231"/>
      <c r="D152" s="131" t="s">
        <v>76</v>
      </c>
      <c r="E152" s="165">
        <v>250</v>
      </c>
      <c r="F152" s="40">
        <v>43.75</v>
      </c>
      <c r="G152" s="40">
        <v>38.78</v>
      </c>
      <c r="H152" s="40">
        <v>39.96</v>
      </c>
      <c r="I152" s="37">
        <v>564</v>
      </c>
      <c r="J152" s="40">
        <v>0.1</v>
      </c>
      <c r="K152" s="40">
        <v>0.6</v>
      </c>
      <c r="L152" s="40">
        <v>0.7</v>
      </c>
      <c r="M152" s="40">
        <v>50</v>
      </c>
      <c r="N152" s="40"/>
      <c r="P152" s="40">
        <v>282.5</v>
      </c>
      <c r="Q152" s="40">
        <v>457.5</v>
      </c>
      <c r="R152" s="40">
        <v>56</v>
      </c>
      <c r="S152" s="40">
        <v>1.2</v>
      </c>
    </row>
    <row r="153" spans="1:19" s="111" customFormat="1" ht="19.5" customHeight="1" thickBot="1">
      <c r="A153" s="111">
        <v>111</v>
      </c>
      <c r="B153" s="198"/>
      <c r="C153" s="145" t="s">
        <v>117</v>
      </c>
      <c r="D153" s="145" t="s">
        <v>75</v>
      </c>
      <c r="E153" s="162">
        <v>60</v>
      </c>
      <c r="F153" s="145">
        <v>4.5</v>
      </c>
      <c r="G153" s="145">
        <v>1.74</v>
      </c>
      <c r="H153" s="145">
        <v>30.84</v>
      </c>
      <c r="I153" s="143">
        <v>157.19999999999999</v>
      </c>
      <c r="J153" s="146">
        <v>7.0000000000000007E-2</v>
      </c>
      <c r="K153" s="146">
        <v>1.7999999999999999E-2</v>
      </c>
      <c r="L153" s="146"/>
      <c r="M153" s="146"/>
      <c r="N153" s="146">
        <v>1.02</v>
      </c>
      <c r="O153" s="27"/>
      <c r="P153" s="146">
        <v>11.4</v>
      </c>
      <c r="Q153" s="146">
        <v>39</v>
      </c>
      <c r="R153" s="146">
        <v>7.8</v>
      </c>
      <c r="S153" s="146">
        <v>0.7</v>
      </c>
    </row>
    <row r="154" spans="1:19" ht="32.25" thickBot="1">
      <c r="A154" s="9">
        <v>379</v>
      </c>
      <c r="B154" s="199"/>
      <c r="C154" s="145" t="s">
        <v>29</v>
      </c>
      <c r="D154" s="74" t="s">
        <v>78</v>
      </c>
      <c r="E154" s="162">
        <v>200</v>
      </c>
      <c r="F154" s="51">
        <v>3.17</v>
      </c>
      <c r="G154" s="51">
        <v>2.68</v>
      </c>
      <c r="H154" s="51">
        <v>15.95</v>
      </c>
      <c r="I154" s="51">
        <v>101</v>
      </c>
      <c r="J154" s="51">
        <v>0.04</v>
      </c>
      <c r="K154" s="51">
        <v>1.3</v>
      </c>
      <c r="L154" s="51">
        <f>0.4*200/200</f>
        <v>0.4</v>
      </c>
      <c r="M154" s="51">
        <v>20</v>
      </c>
      <c r="N154" s="51">
        <v>0</v>
      </c>
      <c r="O154" s="111"/>
      <c r="P154" s="51">
        <v>125.78</v>
      </c>
      <c r="Q154" s="51">
        <v>90</v>
      </c>
      <c r="R154" s="144">
        <v>14</v>
      </c>
      <c r="S154" s="149">
        <v>0.13</v>
      </c>
    </row>
    <row r="155" spans="1:19" ht="16.5" thickBot="1">
      <c r="B155" s="5"/>
      <c r="C155" s="20" t="s">
        <v>47</v>
      </c>
      <c r="D155" s="34"/>
      <c r="E155" s="174">
        <v>500</v>
      </c>
      <c r="F155" s="23">
        <f t="shared" ref="F155:N155" si="40">F150+F151+F154</f>
        <v>43.27</v>
      </c>
      <c r="G155" s="23">
        <f t="shared" si="40"/>
        <v>38.31</v>
      </c>
      <c r="H155" s="23">
        <f t="shared" si="40"/>
        <v>48.215999999999994</v>
      </c>
      <c r="I155" s="23">
        <f t="shared" si="40"/>
        <v>589</v>
      </c>
      <c r="J155" s="23">
        <f t="shared" si="40"/>
        <v>0.17</v>
      </c>
      <c r="K155" s="23">
        <f t="shared" si="40"/>
        <v>1.78</v>
      </c>
      <c r="L155" s="23">
        <f t="shared" si="40"/>
        <v>1</v>
      </c>
      <c r="M155" s="23">
        <f t="shared" si="40"/>
        <v>60.1</v>
      </c>
      <c r="N155" s="23">
        <f t="shared" si="40"/>
        <v>0.2</v>
      </c>
      <c r="O155" s="23"/>
      <c r="P155" s="23">
        <f>P150+P151+P154</f>
        <v>373.78</v>
      </c>
      <c r="Q155" s="23">
        <f>Q150+Q151+Q154</f>
        <v>533</v>
      </c>
      <c r="R155" s="23">
        <f>R150+R151+R154</f>
        <v>65</v>
      </c>
      <c r="S155" s="23">
        <f>S150+S151+S154</f>
        <v>2.13</v>
      </c>
    </row>
    <row r="156" spans="1:19" ht="16.5" thickBot="1">
      <c r="B156" s="5"/>
      <c r="C156" s="13" t="s">
        <v>48</v>
      </c>
      <c r="D156" s="34"/>
      <c r="E156" s="174">
        <v>550</v>
      </c>
      <c r="F156" s="23">
        <f t="shared" ref="F156:N156" si="41">F150+F152+F154</f>
        <v>52.02</v>
      </c>
      <c r="G156" s="23">
        <f t="shared" si="41"/>
        <v>46.06</v>
      </c>
      <c r="H156" s="23">
        <f t="shared" si="41"/>
        <v>56.209999999999994</v>
      </c>
      <c r="I156" s="23">
        <f t="shared" si="41"/>
        <v>728</v>
      </c>
      <c r="J156" s="23">
        <f t="shared" si="41"/>
        <v>0.17</v>
      </c>
      <c r="K156" s="23">
        <f t="shared" si="41"/>
        <v>1.9</v>
      </c>
      <c r="L156" s="23">
        <f t="shared" si="41"/>
        <v>1.1000000000000001</v>
      </c>
      <c r="M156" s="23">
        <f t="shared" si="41"/>
        <v>70.099999999999994</v>
      </c>
      <c r="N156" s="23">
        <f t="shared" si="41"/>
        <v>0.2</v>
      </c>
      <c r="O156" s="23"/>
      <c r="P156" s="23">
        <f>P150+P152+P154</f>
        <v>430.28</v>
      </c>
      <c r="Q156" s="23">
        <f>Q150+Q152+Q154</f>
        <v>624.5</v>
      </c>
      <c r="R156" s="23">
        <f>R150+R152+R154</f>
        <v>75</v>
      </c>
      <c r="S156" s="23">
        <f>S150+S152+S154</f>
        <v>2.33</v>
      </c>
    </row>
    <row r="157" spans="1:19" ht="16.5" thickBot="1">
      <c r="A157" s="9">
        <v>422</v>
      </c>
      <c r="B157" s="197" t="s">
        <v>9</v>
      </c>
      <c r="C157" s="190" t="s">
        <v>142</v>
      </c>
      <c r="D157" s="73" t="s">
        <v>50</v>
      </c>
      <c r="E157" s="180">
        <v>100</v>
      </c>
      <c r="F157" s="180">
        <v>1.1000000000000001</v>
      </c>
      <c r="G157" s="180">
        <v>0.2</v>
      </c>
      <c r="H157" s="180">
        <v>3.8</v>
      </c>
      <c r="I157" s="180">
        <v>24</v>
      </c>
      <c r="J157" s="40">
        <v>0.06</v>
      </c>
      <c r="K157" s="40">
        <v>25</v>
      </c>
      <c r="L157" s="40">
        <v>0</v>
      </c>
      <c r="M157" s="40">
        <v>0</v>
      </c>
      <c r="N157" s="40">
        <v>0.7</v>
      </c>
      <c r="O157" s="111"/>
      <c r="P157" s="40">
        <v>14</v>
      </c>
      <c r="Q157" s="40">
        <v>26</v>
      </c>
      <c r="R157" s="37">
        <v>20</v>
      </c>
      <c r="S157" s="37">
        <v>0.9</v>
      </c>
    </row>
    <row r="158" spans="1:19" ht="15.75" customHeight="1" thickBot="1">
      <c r="B158" s="198"/>
      <c r="C158" s="191"/>
      <c r="D158" s="180" t="s">
        <v>51</v>
      </c>
      <c r="E158" s="180">
        <v>100</v>
      </c>
      <c r="F158" s="180">
        <v>1.1000000000000001</v>
      </c>
      <c r="G158" s="180">
        <v>0.2</v>
      </c>
      <c r="H158" s="180">
        <v>3.8</v>
      </c>
      <c r="I158" s="180">
        <v>24</v>
      </c>
      <c r="J158" s="40">
        <v>0.06</v>
      </c>
      <c r="K158" s="40">
        <v>25</v>
      </c>
      <c r="L158" s="40">
        <v>0</v>
      </c>
      <c r="M158" s="40">
        <v>0</v>
      </c>
      <c r="N158" s="40">
        <v>0.7</v>
      </c>
      <c r="O158" s="111"/>
      <c r="P158" s="40">
        <v>14</v>
      </c>
      <c r="Q158" s="40">
        <v>26</v>
      </c>
      <c r="R158" s="37">
        <v>20</v>
      </c>
      <c r="S158" s="37">
        <v>0.9</v>
      </c>
    </row>
    <row r="159" spans="1:19" ht="16.5" customHeight="1" thickBot="1">
      <c r="A159" s="9">
        <v>82</v>
      </c>
      <c r="B159" s="198"/>
      <c r="C159" s="190" t="s">
        <v>119</v>
      </c>
      <c r="D159" s="3" t="s">
        <v>50</v>
      </c>
      <c r="E159" s="165">
        <v>200</v>
      </c>
      <c r="F159" s="101">
        <v>8.34</v>
      </c>
      <c r="G159" s="101">
        <v>7.09</v>
      </c>
      <c r="H159" s="101">
        <v>17.14</v>
      </c>
      <c r="I159" s="101">
        <v>166</v>
      </c>
      <c r="J159" s="101">
        <v>0.12</v>
      </c>
      <c r="K159" s="101">
        <f>0.03*250/100</f>
        <v>7.4999999999999997E-2</v>
      </c>
      <c r="L159" s="101">
        <v>8.6</v>
      </c>
      <c r="M159" s="101">
        <v>10</v>
      </c>
      <c r="N159" s="102">
        <v>1.4</v>
      </c>
      <c r="O159" s="103"/>
      <c r="P159" s="104">
        <v>32.6</v>
      </c>
      <c r="Q159" s="101">
        <v>105.7</v>
      </c>
      <c r="R159" s="101">
        <v>31.75</v>
      </c>
      <c r="S159" s="101">
        <v>1.48</v>
      </c>
    </row>
    <row r="160" spans="1:19" ht="15.75" customHeight="1" thickBot="1">
      <c r="B160" s="198"/>
      <c r="C160" s="191"/>
      <c r="D160" s="145" t="s">
        <v>51</v>
      </c>
      <c r="E160" s="162">
        <v>250</v>
      </c>
      <c r="F160" s="101">
        <v>8.34</v>
      </c>
      <c r="G160" s="101">
        <v>7.09</v>
      </c>
      <c r="H160" s="101">
        <v>17.14</v>
      </c>
      <c r="I160" s="101">
        <v>166</v>
      </c>
      <c r="J160" s="101">
        <v>0.12</v>
      </c>
      <c r="K160" s="101">
        <f>0.03*250/100</f>
        <v>7.4999999999999997E-2</v>
      </c>
      <c r="L160" s="101">
        <v>8.6</v>
      </c>
      <c r="M160" s="101">
        <v>10</v>
      </c>
      <c r="N160" s="102">
        <v>1.4</v>
      </c>
      <c r="O160" s="103"/>
      <c r="P160" s="104">
        <v>32.6</v>
      </c>
      <c r="Q160" s="101">
        <v>105.7</v>
      </c>
      <c r="R160" s="101">
        <v>31.75</v>
      </c>
      <c r="S160" s="101">
        <v>1.48</v>
      </c>
    </row>
    <row r="161" spans="1:22" ht="30.75" customHeight="1" thickBot="1">
      <c r="A161" s="9">
        <v>268</v>
      </c>
      <c r="B161" s="198"/>
      <c r="C161" s="145" t="s">
        <v>106</v>
      </c>
      <c r="D161" s="145" t="s">
        <v>72</v>
      </c>
      <c r="E161" s="162">
        <v>100</v>
      </c>
      <c r="F161" s="36">
        <v>15</v>
      </c>
      <c r="G161" s="36">
        <v>22</v>
      </c>
      <c r="H161" s="36">
        <v>13.02</v>
      </c>
      <c r="I161" s="37">
        <v>312.73</v>
      </c>
      <c r="J161" s="38">
        <v>7.0000000000000007E-2</v>
      </c>
      <c r="K161" s="38">
        <v>0.31</v>
      </c>
      <c r="L161" s="38"/>
      <c r="M161" s="38">
        <v>40.729999999999997</v>
      </c>
      <c r="N161" s="38">
        <v>0</v>
      </c>
      <c r="O161" s="111"/>
      <c r="P161" s="36">
        <v>39.22</v>
      </c>
      <c r="Q161" s="36">
        <v>171.64</v>
      </c>
      <c r="R161" s="36">
        <v>50.71</v>
      </c>
      <c r="S161" s="36">
        <v>2.5499999999999998</v>
      </c>
    </row>
    <row r="162" spans="1:22" ht="15.75" customHeight="1" thickBot="1">
      <c r="A162" s="9">
        <v>171</v>
      </c>
      <c r="B162" s="198"/>
      <c r="C162" s="190" t="s">
        <v>74</v>
      </c>
      <c r="D162" s="73" t="s">
        <v>47</v>
      </c>
      <c r="E162" s="165">
        <v>200</v>
      </c>
      <c r="F162" s="36">
        <v>11.06</v>
      </c>
      <c r="G162" s="36">
        <v>11.9</v>
      </c>
      <c r="H162" s="36">
        <v>49.8</v>
      </c>
      <c r="I162" s="37">
        <v>350</v>
      </c>
      <c r="J162" s="38">
        <v>0.26</v>
      </c>
      <c r="K162" s="40">
        <v>0</v>
      </c>
      <c r="L162" s="40">
        <v>0</v>
      </c>
      <c r="M162" s="40">
        <v>50</v>
      </c>
      <c r="N162" s="40"/>
      <c r="O162" s="111"/>
      <c r="P162" s="40">
        <v>32.979999999999997</v>
      </c>
      <c r="Q162" s="40">
        <v>263</v>
      </c>
      <c r="R162" s="40">
        <v>175.6</v>
      </c>
      <c r="S162" s="40">
        <v>5.9</v>
      </c>
    </row>
    <row r="163" spans="1:22" ht="19.5" customHeight="1" thickBot="1">
      <c r="B163" s="198"/>
      <c r="C163" s="191"/>
      <c r="D163" s="145" t="s">
        <v>51</v>
      </c>
      <c r="E163" s="162">
        <v>250</v>
      </c>
      <c r="F163" s="36">
        <v>14</v>
      </c>
      <c r="G163" s="36">
        <v>18</v>
      </c>
      <c r="H163" s="36">
        <v>68.8</v>
      </c>
      <c r="I163" s="37">
        <v>505.5</v>
      </c>
      <c r="J163" s="40">
        <v>0.2</v>
      </c>
      <c r="K163" s="40">
        <v>0</v>
      </c>
      <c r="L163" s="40"/>
      <c r="M163" s="40"/>
      <c r="N163" s="40"/>
      <c r="O163" s="111"/>
      <c r="P163" s="40">
        <v>30</v>
      </c>
      <c r="Q163" s="40">
        <v>180</v>
      </c>
      <c r="R163" s="40">
        <v>122.2</v>
      </c>
      <c r="S163" s="40">
        <v>4</v>
      </c>
    </row>
    <row r="164" spans="1:22" ht="18.75" customHeight="1" thickBot="1">
      <c r="A164" s="9">
        <v>399</v>
      </c>
      <c r="B164" s="198"/>
      <c r="C164" s="71" t="s">
        <v>85</v>
      </c>
      <c r="D164" s="132" t="s">
        <v>101</v>
      </c>
      <c r="E164" s="165">
        <v>200</v>
      </c>
      <c r="F164" s="67">
        <f>0.5*2</f>
        <v>1</v>
      </c>
      <c r="G164" s="67">
        <v>0</v>
      </c>
      <c r="H164" s="67">
        <f>10.1*2</f>
        <v>20.2</v>
      </c>
      <c r="I164" s="67">
        <v>85</v>
      </c>
      <c r="J164" s="67">
        <v>0.03</v>
      </c>
      <c r="K164" s="67">
        <f>K163</f>
        <v>0</v>
      </c>
      <c r="L164" s="67">
        <v>0</v>
      </c>
      <c r="M164" s="67"/>
      <c r="N164" s="67"/>
      <c r="P164" s="67">
        <f>7*2</f>
        <v>14</v>
      </c>
      <c r="Q164" s="67">
        <f>7*2</f>
        <v>14</v>
      </c>
      <c r="R164" s="67">
        <f>4*2</f>
        <v>8</v>
      </c>
      <c r="S164" s="67">
        <f>1.4*2</f>
        <v>2.8</v>
      </c>
    </row>
    <row r="165" spans="1:22" ht="26.25" customHeight="1" thickBot="1">
      <c r="A165" s="9">
        <v>109</v>
      </c>
      <c r="B165" s="199"/>
      <c r="C165" s="145" t="s">
        <v>11</v>
      </c>
      <c r="D165" s="125" t="s">
        <v>68</v>
      </c>
      <c r="E165" s="162">
        <v>50</v>
      </c>
      <c r="F165" s="145">
        <v>3.3</v>
      </c>
      <c r="G165" s="145">
        <v>0.6</v>
      </c>
      <c r="H165" s="145">
        <v>16.7</v>
      </c>
      <c r="I165" s="145">
        <v>87</v>
      </c>
      <c r="J165" s="144">
        <v>0.9</v>
      </c>
      <c r="K165" s="144">
        <v>0.02</v>
      </c>
      <c r="L165" s="144"/>
      <c r="M165" s="144"/>
      <c r="N165" s="144">
        <v>0.7</v>
      </c>
      <c r="O165" s="146"/>
      <c r="P165" s="144">
        <v>35</v>
      </c>
      <c r="Q165" s="144">
        <v>158</v>
      </c>
      <c r="R165" s="144">
        <v>47</v>
      </c>
      <c r="S165" s="39">
        <v>3.9</v>
      </c>
    </row>
    <row r="166" spans="1:22" ht="16.5" thickBot="1">
      <c r="B166" s="1"/>
      <c r="C166" s="20" t="s">
        <v>47</v>
      </c>
      <c r="D166" s="34"/>
      <c r="E166" s="175">
        <v>850</v>
      </c>
      <c r="F166" s="17">
        <f>F157+F159+F161+F162+F164+F165</f>
        <v>39.799999999999997</v>
      </c>
      <c r="G166" s="17">
        <f t="shared" ref="G166" si="42">G157+G159+G161+G162+G164+G165</f>
        <v>41.79</v>
      </c>
      <c r="H166" s="17">
        <f t="shared" ref="H166" si="43">H158+H161+H163+H165+H157</f>
        <v>106.12</v>
      </c>
      <c r="I166" s="17">
        <v>916.7</v>
      </c>
      <c r="J166" s="17">
        <f t="shared" ref="J166" si="44">J157+J159+J161+J162+J164+J165</f>
        <v>1.44</v>
      </c>
      <c r="K166" s="17">
        <f t="shared" ref="K166" si="45">K157+K159+K161+K162+K164+K165</f>
        <v>25.404999999999998</v>
      </c>
      <c r="L166" s="17">
        <f t="shared" ref="L166" si="46">L157+L159+L161+L162+L164+L165</f>
        <v>8.6</v>
      </c>
      <c r="M166" s="17">
        <f t="shared" ref="M166" si="47">M157+M159+M161+M162+M164+M165</f>
        <v>100.72999999999999</v>
      </c>
      <c r="N166" s="17">
        <f t="shared" ref="N166" si="48">N157+N159+N161+N162+N164+N165</f>
        <v>2.8</v>
      </c>
      <c r="O166" s="17"/>
      <c r="P166" s="17">
        <f>P157+P159+Q161+P162+P164+P165</f>
        <v>300.21999999999997</v>
      </c>
      <c r="Q166" s="17">
        <f>Q157+Q159+R161+Q162+Q164+Q165</f>
        <v>617.41</v>
      </c>
      <c r="R166" s="17">
        <f>R157+R159+S161+R162+R164+R165</f>
        <v>284.89999999999998</v>
      </c>
      <c r="S166" s="17">
        <f>S157+S159+S162+S164+S165+S161</f>
        <v>17.53</v>
      </c>
    </row>
    <row r="167" spans="1:22" ht="16.5" thickBot="1">
      <c r="B167" s="1"/>
      <c r="C167" s="13" t="s">
        <v>48</v>
      </c>
      <c r="D167" s="34"/>
      <c r="E167" s="175">
        <v>950</v>
      </c>
      <c r="F167" s="17">
        <f>F158+F160+F161+F163+F164+F165</f>
        <v>42.739999999999995</v>
      </c>
      <c r="G167" s="17">
        <f t="shared" ref="G167:N167" si="49">G158+G160+G161+G163+G164+G165</f>
        <v>47.89</v>
      </c>
      <c r="H167" s="24">
        <f t="shared" ref="H167" si="50">H157+H159+H160+H162+H163+H164+H165</f>
        <v>193.57999999999998</v>
      </c>
      <c r="I167" s="17">
        <v>1072.2</v>
      </c>
      <c r="J167" s="17">
        <f t="shared" si="49"/>
        <v>1.38</v>
      </c>
      <c r="K167" s="17">
        <f t="shared" si="49"/>
        <v>25.404999999999998</v>
      </c>
      <c r="L167" s="17">
        <f t="shared" si="49"/>
        <v>8.6</v>
      </c>
      <c r="M167" s="17">
        <f t="shared" si="49"/>
        <v>50.73</v>
      </c>
      <c r="N167" s="17">
        <f t="shared" si="49"/>
        <v>2.8</v>
      </c>
      <c r="O167" s="17"/>
      <c r="P167" s="17">
        <f>P158+P160+Q161+P163+P164+P165</f>
        <v>297.24</v>
      </c>
      <c r="Q167" s="17">
        <f>Q158+Q160+R161+Q163+Q164+Q165</f>
        <v>534.41</v>
      </c>
      <c r="R167" s="17">
        <f>R158+R160+S161+R163+R164+R165</f>
        <v>231.5</v>
      </c>
      <c r="S167" s="17">
        <f>S158+S160+S163+S164+S165+S161</f>
        <v>15.629999999999999</v>
      </c>
    </row>
    <row r="168" spans="1:22" ht="16.5" thickBot="1">
      <c r="B168" s="1"/>
      <c r="C168" s="183" t="s">
        <v>46</v>
      </c>
      <c r="D168" s="85"/>
      <c r="E168" s="18"/>
      <c r="F168" s="18">
        <f>F155+F166</f>
        <v>83.07</v>
      </c>
      <c r="G168" s="18">
        <f t="shared" ref="G168:S168" si="51">G155+G166</f>
        <v>80.099999999999994</v>
      </c>
      <c r="H168" s="18">
        <f t="shared" ref="H168" si="52">H154+H166</f>
        <v>122.07000000000001</v>
      </c>
      <c r="I168" s="18">
        <f t="shared" si="51"/>
        <v>1505.7</v>
      </c>
      <c r="J168" s="18">
        <f t="shared" si="51"/>
        <v>1.6099999999999999</v>
      </c>
      <c r="K168" s="18">
        <f t="shared" si="51"/>
        <v>27.184999999999999</v>
      </c>
      <c r="L168" s="18">
        <f t="shared" si="51"/>
        <v>9.6</v>
      </c>
      <c r="M168" s="18">
        <f t="shared" si="51"/>
        <v>160.82999999999998</v>
      </c>
      <c r="N168" s="18">
        <f t="shared" si="51"/>
        <v>3</v>
      </c>
      <c r="O168" s="18"/>
      <c r="P168" s="18">
        <f t="shared" si="51"/>
        <v>674</v>
      </c>
      <c r="Q168" s="130">
        <f t="shared" ref="Q168:Q169" si="53">Q154+Q166</f>
        <v>707.41</v>
      </c>
      <c r="R168" s="18">
        <f t="shared" si="51"/>
        <v>349.9</v>
      </c>
      <c r="S168" s="18">
        <f t="shared" si="51"/>
        <v>19.66</v>
      </c>
    </row>
    <row r="169" spans="1:22" ht="16.5" thickBot="1">
      <c r="B169" s="1"/>
      <c r="C169" s="183"/>
      <c r="D169" s="85"/>
      <c r="E169" s="18"/>
      <c r="F169" s="18">
        <f>F156+F167</f>
        <v>94.759999999999991</v>
      </c>
      <c r="G169" s="18">
        <f t="shared" ref="G169:S169" si="54">G156+G167</f>
        <v>93.95</v>
      </c>
      <c r="H169" s="18">
        <f t="shared" si="54"/>
        <v>249.78999999999996</v>
      </c>
      <c r="I169" s="18">
        <f t="shared" si="54"/>
        <v>1800.2</v>
      </c>
      <c r="J169" s="18">
        <f t="shared" si="54"/>
        <v>1.5499999999999998</v>
      </c>
      <c r="K169" s="18">
        <f t="shared" si="54"/>
        <v>27.304999999999996</v>
      </c>
      <c r="L169" s="18">
        <f t="shared" si="54"/>
        <v>9.6999999999999993</v>
      </c>
      <c r="M169" s="18">
        <f t="shared" si="54"/>
        <v>120.82999999999998</v>
      </c>
      <c r="N169" s="18">
        <f t="shared" si="54"/>
        <v>3</v>
      </c>
      <c r="O169" s="18"/>
      <c r="P169" s="18">
        <f t="shared" si="54"/>
        <v>727.52</v>
      </c>
      <c r="Q169" s="130">
        <f t="shared" si="53"/>
        <v>1067.4099999999999</v>
      </c>
      <c r="R169" s="18">
        <f t="shared" si="54"/>
        <v>306.5</v>
      </c>
      <c r="S169" s="18">
        <f t="shared" si="54"/>
        <v>17.96</v>
      </c>
    </row>
    <row r="170" spans="1:22" ht="16.5" thickBot="1">
      <c r="B170" s="185" t="s">
        <v>37</v>
      </c>
      <c r="C170" s="186"/>
      <c r="D170" s="186"/>
      <c r="E170" s="186"/>
      <c r="F170" s="186"/>
      <c r="G170" s="186"/>
      <c r="H170" s="186"/>
      <c r="I170" s="188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1:22" ht="30.75" customHeight="1" thickBot="1">
      <c r="A171" s="9">
        <v>3</v>
      </c>
      <c r="B171" s="197" t="s">
        <v>6</v>
      </c>
      <c r="C171" s="145" t="s">
        <v>118</v>
      </c>
      <c r="D171" s="145" t="s">
        <v>68</v>
      </c>
      <c r="E171" s="162">
        <v>75</v>
      </c>
      <c r="F171" s="36">
        <v>5.8</v>
      </c>
      <c r="G171" s="36">
        <v>8.3000000000000007</v>
      </c>
      <c r="H171" s="36">
        <v>14.83</v>
      </c>
      <c r="I171" s="37">
        <v>157</v>
      </c>
      <c r="J171" s="52">
        <v>0.04</v>
      </c>
      <c r="K171" s="52">
        <f>0.3*80/100</f>
        <v>0.24</v>
      </c>
      <c r="L171" s="52">
        <v>0.11</v>
      </c>
      <c r="M171" s="53">
        <v>59</v>
      </c>
      <c r="N171" s="58"/>
      <c r="O171" s="27"/>
      <c r="P171" s="64">
        <v>139.19999999999999</v>
      </c>
      <c r="Q171" s="53">
        <v>96</v>
      </c>
      <c r="R171" s="53">
        <v>9.4499999999999993</v>
      </c>
      <c r="S171" s="53">
        <v>0.49</v>
      </c>
    </row>
    <row r="172" spans="1:22" s="111" customFormat="1" ht="3.75" customHeight="1" thickBot="1">
      <c r="B172" s="198"/>
      <c r="C172" s="3"/>
      <c r="D172" s="3"/>
      <c r="E172" s="166"/>
      <c r="F172" s="134"/>
      <c r="G172" s="134"/>
      <c r="H172" s="134"/>
      <c r="I172" s="134"/>
      <c r="J172" s="133"/>
      <c r="K172" s="133"/>
      <c r="L172" s="133"/>
      <c r="M172" s="133"/>
      <c r="N172" s="133"/>
      <c r="O172" s="27"/>
      <c r="P172" s="133"/>
      <c r="Q172" s="133"/>
      <c r="R172" s="133"/>
      <c r="S172" s="133"/>
    </row>
    <row r="173" spans="1:22" ht="19.5" customHeight="1" thickBot="1">
      <c r="A173" s="9">
        <v>120</v>
      </c>
      <c r="B173" s="198"/>
      <c r="C173" s="190" t="s">
        <v>128</v>
      </c>
      <c r="D173" s="73" t="s">
        <v>47</v>
      </c>
      <c r="E173" s="165">
        <v>225</v>
      </c>
      <c r="F173" s="40">
        <v>5.47</v>
      </c>
      <c r="G173" s="40">
        <v>4.75</v>
      </c>
      <c r="H173" s="40">
        <v>17.96</v>
      </c>
      <c r="I173" s="40">
        <v>150</v>
      </c>
      <c r="J173" s="40">
        <v>0.09</v>
      </c>
      <c r="K173" s="40">
        <v>0.8</v>
      </c>
      <c r="L173" s="40">
        <v>0.75</v>
      </c>
      <c r="M173" s="40">
        <v>33</v>
      </c>
      <c r="N173" s="40"/>
      <c r="O173" s="40"/>
      <c r="P173" s="40">
        <v>163</v>
      </c>
      <c r="Q173" s="40">
        <v>136.9</v>
      </c>
      <c r="R173" s="40">
        <v>26.7</v>
      </c>
      <c r="S173" s="40">
        <v>0.7</v>
      </c>
    </row>
    <row r="174" spans="1:22" ht="19.5" customHeight="1" thickBot="1">
      <c r="B174" s="198"/>
      <c r="C174" s="191"/>
      <c r="D174" s="73" t="s">
        <v>76</v>
      </c>
      <c r="E174" s="165">
        <v>250</v>
      </c>
      <c r="F174" s="40">
        <v>7</v>
      </c>
      <c r="G174" s="40">
        <v>7.9</v>
      </c>
      <c r="H174" s="40">
        <v>24.7</v>
      </c>
      <c r="I174" s="40">
        <v>141</v>
      </c>
      <c r="J174" s="40">
        <v>7.4999999999999997E-2</v>
      </c>
      <c r="K174" s="40">
        <v>0.17499999999999999</v>
      </c>
      <c r="L174" s="40">
        <v>0.75</v>
      </c>
      <c r="M174" s="40">
        <v>25</v>
      </c>
      <c r="N174" s="40"/>
      <c r="O174" s="40"/>
      <c r="P174" s="40">
        <v>125</v>
      </c>
      <c r="Q174" s="40">
        <v>20</v>
      </c>
      <c r="R174" s="40">
        <v>0.5</v>
      </c>
      <c r="S174" s="40">
        <v>4.25</v>
      </c>
      <c r="U174" s="106" t="s">
        <v>87</v>
      </c>
      <c r="V174" s="106" t="s">
        <v>89</v>
      </c>
    </row>
    <row r="175" spans="1:22" ht="33" customHeight="1" thickBot="1">
      <c r="A175" s="9">
        <v>382</v>
      </c>
      <c r="B175" s="198"/>
      <c r="C175" s="71" t="s">
        <v>86</v>
      </c>
      <c r="D175" s="95" t="s">
        <v>75</v>
      </c>
      <c r="E175" s="162">
        <v>200</v>
      </c>
      <c r="F175" s="40">
        <v>4.08</v>
      </c>
      <c r="G175" s="40">
        <v>3.54</v>
      </c>
      <c r="H175" s="40">
        <v>17.579999999999998</v>
      </c>
      <c r="I175" s="40">
        <v>119</v>
      </c>
      <c r="J175" s="40">
        <v>0.06</v>
      </c>
      <c r="K175" s="40">
        <v>1.59</v>
      </c>
      <c r="L175" s="40">
        <v>0</v>
      </c>
      <c r="M175" s="40">
        <v>24.4</v>
      </c>
      <c r="N175" s="40"/>
      <c r="O175" s="111"/>
      <c r="P175" s="40">
        <v>152.22</v>
      </c>
      <c r="Q175" s="40">
        <v>124.56</v>
      </c>
      <c r="R175" s="144">
        <v>21.34</v>
      </c>
      <c r="S175" s="39">
        <v>0.48</v>
      </c>
      <c r="U175" s="107" t="s">
        <v>88</v>
      </c>
      <c r="V175" s="107" t="s">
        <v>90</v>
      </c>
    </row>
    <row r="176" spans="1:22" s="111" customFormat="1" ht="24.75" customHeight="1" thickBot="1">
      <c r="A176" s="111">
        <v>590</v>
      </c>
      <c r="B176" s="198"/>
      <c r="C176" s="156" t="s">
        <v>96</v>
      </c>
      <c r="D176" s="73" t="s">
        <v>131</v>
      </c>
      <c r="E176" s="165">
        <v>30</v>
      </c>
      <c r="F176" s="155">
        <v>1.5</v>
      </c>
      <c r="G176" s="155">
        <v>0.9</v>
      </c>
      <c r="H176" s="155">
        <v>19.5</v>
      </c>
      <c r="I176" s="155">
        <v>90</v>
      </c>
      <c r="J176" s="160">
        <v>0.03</v>
      </c>
      <c r="K176" s="160">
        <v>0.01</v>
      </c>
      <c r="L176" s="160">
        <v>0</v>
      </c>
      <c r="M176" s="160">
        <v>0.8</v>
      </c>
      <c r="N176" s="160">
        <v>0</v>
      </c>
      <c r="O176" s="27"/>
      <c r="P176" s="160">
        <v>3.7</v>
      </c>
      <c r="Q176" s="160">
        <v>17</v>
      </c>
      <c r="R176" s="160">
        <v>3</v>
      </c>
      <c r="S176" s="160">
        <v>0.3</v>
      </c>
      <c r="U176" s="107"/>
      <c r="V176" s="107"/>
    </row>
    <row r="177" spans="1:22" ht="24" customHeight="1" thickBot="1">
      <c r="B177" s="198"/>
      <c r="C177" s="20" t="s">
        <v>47</v>
      </c>
      <c r="D177" s="34"/>
      <c r="E177" s="165">
        <v>530</v>
      </c>
      <c r="F177" s="6">
        <f>F171+F172+F173+F175</f>
        <v>15.35</v>
      </c>
      <c r="G177" s="6">
        <f t="shared" ref="G177:S177" si="55">G171+G172+G173+G175</f>
        <v>16.59</v>
      </c>
      <c r="H177" s="6">
        <f t="shared" si="55"/>
        <v>50.37</v>
      </c>
      <c r="I177" s="6">
        <f t="shared" si="55"/>
        <v>426</v>
      </c>
      <c r="J177" s="6">
        <f t="shared" si="55"/>
        <v>0.19</v>
      </c>
      <c r="K177" s="6">
        <f t="shared" si="55"/>
        <v>2.63</v>
      </c>
      <c r="L177" s="6">
        <f t="shared" si="55"/>
        <v>0.86</v>
      </c>
      <c r="M177" s="6">
        <f t="shared" si="55"/>
        <v>116.4</v>
      </c>
      <c r="N177" s="6">
        <f t="shared" si="55"/>
        <v>0</v>
      </c>
      <c r="O177" s="6"/>
      <c r="P177" s="6">
        <f t="shared" si="55"/>
        <v>454.41999999999996</v>
      </c>
      <c r="Q177" s="6">
        <f t="shared" si="55"/>
        <v>357.46000000000004</v>
      </c>
      <c r="R177" s="82">
        <f t="shared" ref="R177" si="56">R171+R172+R174+R175</f>
        <v>31.29</v>
      </c>
      <c r="S177" s="6">
        <f t="shared" si="55"/>
        <v>1.67</v>
      </c>
      <c r="U177" s="106" t="s">
        <v>92</v>
      </c>
      <c r="V177" s="107" t="s">
        <v>91</v>
      </c>
    </row>
    <row r="178" spans="1:22" ht="16.5" thickBot="1">
      <c r="B178" s="199"/>
      <c r="C178" s="13" t="s">
        <v>48</v>
      </c>
      <c r="D178" s="34"/>
      <c r="E178" s="165">
        <v>580</v>
      </c>
      <c r="F178" s="6">
        <v>18.38</v>
      </c>
      <c r="G178" s="6">
        <v>20.64</v>
      </c>
      <c r="H178" s="6">
        <v>77.11</v>
      </c>
      <c r="I178" s="6">
        <v>507</v>
      </c>
      <c r="J178" s="6">
        <f t="shared" ref="J178:S178" si="57">J171+J172+J174+J175</f>
        <v>0.17499999999999999</v>
      </c>
      <c r="K178" s="6">
        <f t="shared" si="57"/>
        <v>2.0049999999999999</v>
      </c>
      <c r="L178" s="6">
        <f t="shared" si="57"/>
        <v>0.86</v>
      </c>
      <c r="M178" s="6">
        <f t="shared" si="57"/>
        <v>108.4</v>
      </c>
      <c r="N178" s="6">
        <f t="shared" si="57"/>
        <v>0</v>
      </c>
      <c r="O178" s="6"/>
      <c r="P178" s="6">
        <f t="shared" si="57"/>
        <v>416.41999999999996</v>
      </c>
      <c r="Q178" s="6">
        <f t="shared" si="57"/>
        <v>240.56</v>
      </c>
      <c r="R178" s="23">
        <f>R171+R173+R175</f>
        <v>57.489999999999995</v>
      </c>
      <c r="S178" s="6">
        <f t="shared" si="57"/>
        <v>5.2200000000000006</v>
      </c>
      <c r="U178" s="108">
        <v>4.2407407407407401E-2</v>
      </c>
    </row>
    <row r="179" spans="1:22" s="111" customFormat="1" ht="32.25" thickBot="1">
      <c r="A179" s="111">
        <v>133</v>
      </c>
      <c r="B179" s="196" t="s">
        <v>23</v>
      </c>
      <c r="C179" s="13" t="s">
        <v>105</v>
      </c>
      <c r="D179" s="20" t="s">
        <v>131</v>
      </c>
      <c r="E179" s="162">
        <v>100</v>
      </c>
      <c r="F179" s="156">
        <v>8.3000000000000007</v>
      </c>
      <c r="G179" s="156">
        <v>1.2</v>
      </c>
      <c r="H179" s="156">
        <v>71</v>
      </c>
      <c r="I179" s="156">
        <v>131.19999999999999</v>
      </c>
      <c r="J179" s="155">
        <v>0.13</v>
      </c>
      <c r="K179" s="155">
        <v>0</v>
      </c>
      <c r="L179" s="155">
        <v>0</v>
      </c>
      <c r="M179" s="155">
        <v>0</v>
      </c>
      <c r="N179" s="155">
        <v>0</v>
      </c>
      <c r="O179" s="160"/>
      <c r="P179" s="155">
        <v>20</v>
      </c>
      <c r="Q179" s="155">
        <v>109</v>
      </c>
      <c r="R179" s="155">
        <v>30</v>
      </c>
      <c r="S179" s="39">
        <v>2.7</v>
      </c>
      <c r="U179" s="137"/>
    </row>
    <row r="180" spans="1:22" s="70" customFormat="1" ht="20.25" customHeight="1" thickBot="1">
      <c r="A180" s="70">
        <v>57</v>
      </c>
      <c r="B180" s="194"/>
      <c r="C180" s="193" t="s">
        <v>16</v>
      </c>
      <c r="D180" s="34" t="s">
        <v>47</v>
      </c>
      <c r="E180" s="165">
        <v>200</v>
      </c>
      <c r="F180" s="6">
        <v>7.47</v>
      </c>
      <c r="G180" s="6">
        <v>9.16</v>
      </c>
      <c r="H180" s="6">
        <v>12.74</v>
      </c>
      <c r="I180" s="98">
        <v>164</v>
      </c>
      <c r="J180" s="146">
        <v>0.06</v>
      </c>
      <c r="K180" s="146">
        <v>10.64</v>
      </c>
      <c r="L180" s="146"/>
      <c r="M180" s="146">
        <v>10</v>
      </c>
      <c r="N180" s="146">
        <v>2.4</v>
      </c>
      <c r="O180" s="27"/>
      <c r="P180" s="146">
        <v>52.65</v>
      </c>
      <c r="Q180" s="146">
        <v>92.2</v>
      </c>
      <c r="R180" s="146">
        <v>31.05</v>
      </c>
      <c r="S180" s="146">
        <v>1.59</v>
      </c>
    </row>
    <row r="181" spans="1:22" ht="26.25" customHeight="1" thickBot="1">
      <c r="B181" s="194"/>
      <c r="C181" s="194"/>
      <c r="D181" s="73" t="s">
        <v>76</v>
      </c>
      <c r="E181" s="165">
        <v>250</v>
      </c>
      <c r="F181" s="6">
        <v>9.33</v>
      </c>
      <c r="G181" s="6">
        <v>11.45</v>
      </c>
      <c r="H181" s="6">
        <v>31.85</v>
      </c>
      <c r="I181" s="98">
        <v>205</v>
      </c>
      <c r="J181" s="160">
        <v>7.0000000000000007E-2</v>
      </c>
      <c r="K181" s="160">
        <v>13.3</v>
      </c>
      <c r="L181" s="160"/>
      <c r="M181" s="160">
        <v>12.5</v>
      </c>
      <c r="N181" s="160">
        <v>3</v>
      </c>
      <c r="O181" s="27"/>
      <c r="P181" s="160">
        <v>65.81</v>
      </c>
      <c r="Q181" s="160">
        <v>115.25</v>
      </c>
      <c r="R181" s="160">
        <v>38.81</v>
      </c>
      <c r="S181" s="160">
        <v>1.98</v>
      </c>
    </row>
    <row r="182" spans="1:22" ht="4.5" customHeight="1" thickBot="1">
      <c r="B182" s="194"/>
      <c r="C182" s="195"/>
      <c r="D182" s="73"/>
      <c r="E182" s="165"/>
      <c r="F182" s="6"/>
      <c r="G182" s="6"/>
      <c r="H182" s="6"/>
      <c r="I182" s="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22" ht="16.5" thickBot="1">
      <c r="A183" s="9">
        <v>259</v>
      </c>
      <c r="B183" s="194"/>
      <c r="C183" s="190" t="s">
        <v>38</v>
      </c>
      <c r="D183" s="73" t="s">
        <v>47</v>
      </c>
      <c r="E183" s="165">
        <v>200</v>
      </c>
      <c r="F183" s="40">
        <v>18.510000000000002</v>
      </c>
      <c r="G183" s="36">
        <v>20.67</v>
      </c>
      <c r="H183" s="36">
        <v>18.95</v>
      </c>
      <c r="I183" s="36">
        <v>250</v>
      </c>
      <c r="J183" s="36">
        <v>0.14000000000000001</v>
      </c>
      <c r="K183" s="36">
        <v>7.62</v>
      </c>
      <c r="L183" s="36">
        <f>4.6*200/100</f>
        <v>9.1999999999999993</v>
      </c>
      <c r="M183" s="36"/>
      <c r="N183" s="36"/>
      <c r="P183" s="36">
        <v>34.86</v>
      </c>
      <c r="Q183" s="36">
        <v>235.1</v>
      </c>
      <c r="R183" s="36">
        <v>48.55</v>
      </c>
      <c r="S183" s="36">
        <v>4.41</v>
      </c>
    </row>
    <row r="184" spans="1:22" ht="16.5" thickBot="1">
      <c r="B184" s="194"/>
      <c r="C184" s="191"/>
      <c r="D184" s="73" t="s">
        <v>76</v>
      </c>
      <c r="E184" s="165">
        <v>200</v>
      </c>
      <c r="F184" s="40">
        <f>8.9*200/100</f>
        <v>17.8</v>
      </c>
      <c r="G184" s="36">
        <f>4.9*200/100</f>
        <v>9.8000000000000007</v>
      </c>
      <c r="H184" s="36">
        <f>10.8*200/100</f>
        <v>21.6</v>
      </c>
      <c r="I184" s="36">
        <f>125*200/100</f>
        <v>250</v>
      </c>
      <c r="J184" s="89">
        <f>0.08*200/100</f>
        <v>0.16</v>
      </c>
      <c r="K184" s="89">
        <f>0.1*200/100</f>
        <v>0.2</v>
      </c>
      <c r="L184" s="89">
        <f>4.6*200/100</f>
        <v>9.1999999999999993</v>
      </c>
      <c r="M184" s="89"/>
      <c r="N184" s="89"/>
      <c r="O184" s="70"/>
      <c r="P184" s="89">
        <f>16*200/100</f>
        <v>32</v>
      </c>
      <c r="Q184" s="89">
        <f>94*200/100</f>
        <v>188</v>
      </c>
      <c r="R184" s="89">
        <f>22*200/100</f>
        <v>44</v>
      </c>
      <c r="S184" s="89">
        <f>1.4*200/100</f>
        <v>2.8</v>
      </c>
    </row>
    <row r="185" spans="1:22" ht="36.75" customHeight="1" thickBot="1">
      <c r="A185" s="9">
        <v>372</v>
      </c>
      <c r="B185" s="194"/>
      <c r="C185" s="145" t="s">
        <v>116</v>
      </c>
      <c r="D185" s="74" t="s">
        <v>75</v>
      </c>
      <c r="E185" s="162">
        <v>200</v>
      </c>
      <c r="F185" s="40">
        <f>0.1*200/100</f>
        <v>0.2</v>
      </c>
      <c r="G185" s="40"/>
      <c r="H185" s="40">
        <f>17.9*200/100</f>
        <v>35.799999999999997</v>
      </c>
      <c r="I185" s="40">
        <f>71*200/100</f>
        <v>142</v>
      </c>
      <c r="J185" s="40">
        <f>0.02*200/200</f>
        <v>0.02</v>
      </c>
      <c r="K185" s="40"/>
      <c r="L185" s="40">
        <f>5.4*200/200</f>
        <v>5.4</v>
      </c>
      <c r="M185" s="40"/>
      <c r="N185" s="40"/>
      <c r="O185" s="111"/>
      <c r="P185" s="40">
        <f>12*200/200</f>
        <v>12</v>
      </c>
      <c r="Q185" s="40">
        <f>4*200/200</f>
        <v>4</v>
      </c>
      <c r="R185" s="40">
        <f>4*200/200</f>
        <v>4</v>
      </c>
      <c r="S185" s="40">
        <f>0.8*200/200</f>
        <v>0.8</v>
      </c>
    </row>
    <row r="186" spans="1:22" s="111" customFormat="1" ht="21" customHeight="1" thickBot="1">
      <c r="B186" s="194"/>
      <c r="C186" s="110" t="s">
        <v>96</v>
      </c>
      <c r="D186" s="73" t="s">
        <v>97</v>
      </c>
      <c r="E186" s="165">
        <v>30</v>
      </c>
      <c r="F186" s="117">
        <v>1.5</v>
      </c>
      <c r="G186" s="117">
        <v>0.9</v>
      </c>
      <c r="H186" s="117">
        <v>19.5</v>
      </c>
      <c r="I186" s="117">
        <v>90</v>
      </c>
      <c r="J186" s="112">
        <v>0.03</v>
      </c>
      <c r="K186" s="112">
        <v>0.01</v>
      </c>
      <c r="L186" s="112">
        <v>0</v>
      </c>
      <c r="M186" s="112">
        <v>0.8</v>
      </c>
      <c r="N186" s="112">
        <v>0</v>
      </c>
      <c r="O186" s="27"/>
      <c r="P186" s="112">
        <v>3.7</v>
      </c>
      <c r="Q186" s="112">
        <v>17</v>
      </c>
      <c r="R186" s="112">
        <v>3</v>
      </c>
      <c r="S186" s="112">
        <v>0.3</v>
      </c>
    </row>
    <row r="187" spans="1:22" ht="26.25" customHeight="1" thickBot="1">
      <c r="A187" s="9">
        <v>109</v>
      </c>
      <c r="B187" s="195"/>
      <c r="C187" s="145" t="s">
        <v>11</v>
      </c>
      <c r="D187" s="125" t="s">
        <v>68</v>
      </c>
      <c r="E187" s="162">
        <v>50</v>
      </c>
      <c r="F187" s="145">
        <v>3.3</v>
      </c>
      <c r="G187" s="145">
        <v>0.6</v>
      </c>
      <c r="H187" s="145">
        <v>16.7</v>
      </c>
      <c r="I187" s="145">
        <v>87</v>
      </c>
      <c r="J187" s="144">
        <v>0.9</v>
      </c>
      <c r="K187" s="144">
        <v>0.02</v>
      </c>
      <c r="L187" s="144"/>
      <c r="M187" s="144"/>
      <c r="N187" s="144">
        <v>0.7</v>
      </c>
      <c r="O187" s="146"/>
      <c r="P187" s="144">
        <v>35</v>
      </c>
      <c r="Q187" s="144">
        <v>158</v>
      </c>
      <c r="R187" s="144">
        <v>47</v>
      </c>
      <c r="S187" s="39">
        <v>3.9</v>
      </c>
    </row>
    <row r="188" spans="1:22" ht="16.5" thickBot="1">
      <c r="B188" s="1"/>
      <c r="C188" s="20" t="s">
        <v>47</v>
      </c>
      <c r="D188" s="34"/>
      <c r="E188" s="172">
        <v>780</v>
      </c>
      <c r="F188" s="17">
        <f>F180+F183+F185+F187+F179</f>
        <v>37.78</v>
      </c>
      <c r="G188" s="17">
        <f t="shared" ref="G188:S188" si="58">G180+G183+G185+G187+G179</f>
        <v>31.630000000000003</v>
      </c>
      <c r="H188" s="17">
        <f t="shared" si="58"/>
        <v>155.19</v>
      </c>
      <c r="I188" s="17">
        <f t="shared" si="58"/>
        <v>774.2</v>
      </c>
      <c r="J188" s="17">
        <f t="shared" si="58"/>
        <v>1.25</v>
      </c>
      <c r="K188" s="17">
        <f t="shared" si="58"/>
        <v>18.28</v>
      </c>
      <c r="L188" s="17">
        <f t="shared" si="58"/>
        <v>14.6</v>
      </c>
      <c r="M188" s="17">
        <f t="shared" si="58"/>
        <v>10</v>
      </c>
      <c r="N188" s="17">
        <f t="shared" si="58"/>
        <v>3.0999999999999996</v>
      </c>
      <c r="O188" s="17"/>
      <c r="P188" s="17">
        <f t="shared" si="58"/>
        <v>154.51</v>
      </c>
      <c r="Q188" s="17">
        <f t="shared" si="58"/>
        <v>598.29999999999995</v>
      </c>
      <c r="R188" s="17">
        <f t="shared" si="58"/>
        <v>160.6</v>
      </c>
      <c r="S188" s="17">
        <f t="shared" si="58"/>
        <v>13.399999999999999</v>
      </c>
    </row>
    <row r="189" spans="1:22" ht="16.5" thickBot="1">
      <c r="B189" s="1"/>
      <c r="C189" s="13" t="s">
        <v>48</v>
      </c>
      <c r="D189" s="34"/>
      <c r="E189" s="172">
        <v>830</v>
      </c>
      <c r="F189" s="17">
        <f>F181+F184+F185+F187+F179</f>
        <v>38.930000000000007</v>
      </c>
      <c r="G189" s="17">
        <f t="shared" ref="G189:S189" si="59">G181+G184+G185+G187+G179</f>
        <v>23.05</v>
      </c>
      <c r="H189" s="17">
        <f t="shared" si="59"/>
        <v>176.95</v>
      </c>
      <c r="I189" s="17">
        <f t="shared" si="59"/>
        <v>815.2</v>
      </c>
      <c r="J189" s="17">
        <f t="shared" si="59"/>
        <v>1.2799999999999998</v>
      </c>
      <c r="K189" s="17">
        <f t="shared" si="59"/>
        <v>13.52</v>
      </c>
      <c r="L189" s="17">
        <f t="shared" si="59"/>
        <v>14.6</v>
      </c>
      <c r="M189" s="17">
        <f t="shared" si="59"/>
        <v>12.5</v>
      </c>
      <c r="N189" s="17">
        <f t="shared" si="59"/>
        <v>3.7</v>
      </c>
      <c r="O189" s="17"/>
      <c r="P189" s="17">
        <f t="shared" si="59"/>
        <v>164.81</v>
      </c>
      <c r="Q189" s="17">
        <f t="shared" si="59"/>
        <v>574.25</v>
      </c>
      <c r="R189" s="17">
        <f t="shared" si="59"/>
        <v>163.81</v>
      </c>
      <c r="S189" s="17">
        <f t="shared" si="59"/>
        <v>12.18</v>
      </c>
    </row>
    <row r="190" spans="1:22" ht="16.5" thickBot="1">
      <c r="B190" s="1"/>
      <c r="C190" s="183" t="s">
        <v>46</v>
      </c>
      <c r="D190" s="21"/>
      <c r="E190" s="13"/>
      <c r="F190" s="18">
        <f t="shared" ref="F190:N190" si="60">F177+F188</f>
        <v>53.13</v>
      </c>
      <c r="G190" s="18">
        <f t="shared" si="60"/>
        <v>48.22</v>
      </c>
      <c r="H190" s="18">
        <f t="shared" si="60"/>
        <v>205.56</v>
      </c>
      <c r="I190" s="18">
        <f t="shared" si="60"/>
        <v>1200.2</v>
      </c>
      <c r="J190" s="18">
        <f t="shared" si="60"/>
        <v>1.44</v>
      </c>
      <c r="K190" s="18">
        <f t="shared" si="60"/>
        <v>20.91</v>
      </c>
      <c r="L190" s="18">
        <f t="shared" si="60"/>
        <v>15.459999999999999</v>
      </c>
      <c r="M190" s="18">
        <f t="shared" si="60"/>
        <v>126.4</v>
      </c>
      <c r="N190" s="18">
        <f t="shared" si="60"/>
        <v>3.0999999999999996</v>
      </c>
      <c r="O190" s="18"/>
      <c r="P190" s="18">
        <f t="shared" ref="P190:S191" si="61">P177+P188</f>
        <v>608.92999999999995</v>
      </c>
      <c r="Q190" s="18">
        <f t="shared" si="61"/>
        <v>955.76</v>
      </c>
      <c r="R190" s="18">
        <f t="shared" si="61"/>
        <v>191.89</v>
      </c>
      <c r="S190" s="18">
        <f t="shared" si="61"/>
        <v>15.069999999999999</v>
      </c>
    </row>
    <row r="191" spans="1:22" ht="16.5" thickBot="1">
      <c r="B191" s="1"/>
      <c r="C191" s="183"/>
      <c r="D191" s="21"/>
      <c r="E191" s="13"/>
      <c r="F191" s="18">
        <f t="shared" ref="F191:N191" si="62">F178+F189</f>
        <v>57.31</v>
      </c>
      <c r="G191" s="18">
        <f t="shared" si="62"/>
        <v>43.69</v>
      </c>
      <c r="H191" s="18">
        <f t="shared" si="62"/>
        <v>254.06</v>
      </c>
      <c r="I191" s="18">
        <f t="shared" si="62"/>
        <v>1322.2</v>
      </c>
      <c r="J191" s="18">
        <f t="shared" si="62"/>
        <v>1.4549999999999998</v>
      </c>
      <c r="K191" s="18">
        <f t="shared" si="62"/>
        <v>15.524999999999999</v>
      </c>
      <c r="L191" s="18">
        <f t="shared" si="62"/>
        <v>15.459999999999999</v>
      </c>
      <c r="M191" s="18">
        <f t="shared" si="62"/>
        <v>120.9</v>
      </c>
      <c r="N191" s="18">
        <f t="shared" si="62"/>
        <v>3.7</v>
      </c>
      <c r="O191" s="18"/>
      <c r="P191" s="18">
        <f t="shared" si="61"/>
        <v>581.23</v>
      </c>
      <c r="Q191" s="18">
        <f t="shared" si="61"/>
        <v>814.81</v>
      </c>
      <c r="R191" s="18">
        <f t="shared" si="61"/>
        <v>221.3</v>
      </c>
      <c r="S191" s="18">
        <f t="shared" si="61"/>
        <v>17.399999999999999</v>
      </c>
    </row>
    <row r="192" spans="1:22" ht="16.5" thickBot="1">
      <c r="B192" s="185" t="s">
        <v>39</v>
      </c>
      <c r="C192" s="186"/>
      <c r="D192" s="186"/>
      <c r="E192" s="186"/>
      <c r="F192" s="186"/>
      <c r="G192" s="186"/>
      <c r="H192" s="186"/>
      <c r="I192" s="188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9" ht="27" customHeight="1" thickBot="1">
      <c r="A193" s="9">
        <v>247</v>
      </c>
      <c r="B193" s="197" t="s">
        <v>6</v>
      </c>
      <c r="C193" s="190" t="s">
        <v>40</v>
      </c>
      <c r="D193" s="73" t="s">
        <v>47</v>
      </c>
      <c r="E193" s="165">
        <v>200</v>
      </c>
      <c r="F193" s="36">
        <v>8.56</v>
      </c>
      <c r="G193" s="36">
        <v>14.12</v>
      </c>
      <c r="H193" s="36">
        <v>31.52</v>
      </c>
      <c r="I193" s="37">
        <v>287</v>
      </c>
      <c r="J193" s="40">
        <f>0.09*200/100</f>
        <v>0.18</v>
      </c>
      <c r="K193" s="40">
        <v>1.42</v>
      </c>
      <c r="L193" s="40"/>
      <c r="M193" s="40">
        <v>0.08</v>
      </c>
      <c r="N193" s="40">
        <v>0.8</v>
      </c>
      <c r="P193" s="40">
        <v>154.6</v>
      </c>
      <c r="Q193" s="40">
        <v>241.6</v>
      </c>
      <c r="R193" s="40">
        <v>71</v>
      </c>
      <c r="S193" s="40">
        <v>1.7</v>
      </c>
    </row>
    <row r="194" spans="1:19" ht="16.5" thickBot="1">
      <c r="B194" s="198"/>
      <c r="C194" s="192"/>
      <c r="D194" s="73" t="s">
        <v>76</v>
      </c>
      <c r="E194" s="165">
        <v>250</v>
      </c>
      <c r="F194" s="36">
        <v>8.56</v>
      </c>
      <c r="G194" s="36">
        <v>14.12</v>
      </c>
      <c r="H194" s="36">
        <v>31.52</v>
      </c>
      <c r="I194" s="37">
        <v>287</v>
      </c>
      <c r="J194" s="40">
        <f>0.09*200/100</f>
        <v>0.18</v>
      </c>
      <c r="K194" s="40">
        <v>1.42</v>
      </c>
      <c r="L194" s="40"/>
      <c r="M194" s="40">
        <v>0.08</v>
      </c>
      <c r="N194" s="40">
        <v>0.8</v>
      </c>
      <c r="O194" s="111"/>
      <c r="P194" s="40">
        <v>154.6</v>
      </c>
      <c r="Q194" s="40">
        <v>241.6</v>
      </c>
      <c r="R194" s="40">
        <v>71</v>
      </c>
      <c r="S194" s="40">
        <v>1.7</v>
      </c>
    </row>
    <row r="195" spans="1:19" s="97" customFormat="1" ht="33.75" customHeight="1" thickBot="1">
      <c r="A195" s="97">
        <v>1</v>
      </c>
      <c r="B195" s="198"/>
      <c r="C195" s="145" t="s">
        <v>31</v>
      </c>
      <c r="D195" s="145" t="s">
        <v>99</v>
      </c>
      <c r="E195" s="173" t="s">
        <v>135</v>
      </c>
      <c r="F195" s="36">
        <v>2.4500000000000002</v>
      </c>
      <c r="G195" s="36">
        <v>7.55</v>
      </c>
      <c r="H195" s="36">
        <v>14.6</v>
      </c>
      <c r="I195" s="37">
        <v>136</v>
      </c>
      <c r="J195" s="87">
        <v>0.05</v>
      </c>
      <c r="K195" s="87">
        <v>0</v>
      </c>
      <c r="L195" s="36"/>
      <c r="M195" s="36">
        <v>40</v>
      </c>
      <c r="N195" s="36"/>
      <c r="O195" s="111"/>
      <c r="P195" s="36">
        <v>9.3000000000000007</v>
      </c>
      <c r="Q195" s="36">
        <v>29.1</v>
      </c>
      <c r="R195" s="36">
        <v>9.9</v>
      </c>
      <c r="S195" s="36">
        <v>0.62</v>
      </c>
    </row>
    <row r="196" spans="1:19" ht="25.5" customHeight="1" thickBot="1">
      <c r="A196" s="9">
        <v>112</v>
      </c>
      <c r="B196" s="198"/>
      <c r="C196" s="154" t="s">
        <v>71</v>
      </c>
      <c r="D196" s="129" t="s">
        <v>101</v>
      </c>
      <c r="E196" s="166">
        <v>100</v>
      </c>
      <c r="F196" s="3">
        <v>0.4</v>
      </c>
      <c r="G196" s="3">
        <v>0.3</v>
      </c>
      <c r="H196" s="3">
        <v>10.3</v>
      </c>
      <c r="I196" s="155">
        <v>47</v>
      </c>
      <c r="J196" s="160">
        <v>0.02</v>
      </c>
      <c r="K196" s="160">
        <v>0.03</v>
      </c>
      <c r="L196" s="160">
        <v>5</v>
      </c>
      <c r="M196" s="160"/>
      <c r="N196" s="160"/>
      <c r="O196" s="27"/>
      <c r="P196" s="160">
        <v>19</v>
      </c>
      <c r="Q196" s="160">
        <v>16</v>
      </c>
      <c r="R196" s="160">
        <v>12</v>
      </c>
      <c r="S196" s="160">
        <v>2.2999999999999998</v>
      </c>
    </row>
    <row r="197" spans="1:19" ht="25.5" customHeight="1" thickBot="1">
      <c r="A197" s="9">
        <v>376</v>
      </c>
      <c r="B197" s="199"/>
      <c r="C197" s="145" t="s">
        <v>8</v>
      </c>
      <c r="D197" s="145" t="s">
        <v>54</v>
      </c>
      <c r="E197" s="162">
        <v>200</v>
      </c>
      <c r="F197" s="145">
        <v>7.0000000000000007E-2</v>
      </c>
      <c r="G197" s="145">
        <v>0.02</v>
      </c>
      <c r="H197" s="145">
        <v>15</v>
      </c>
      <c r="I197" s="143">
        <v>60</v>
      </c>
      <c r="J197" s="146"/>
      <c r="K197" s="146"/>
      <c r="L197" s="146">
        <v>0.03</v>
      </c>
      <c r="M197" s="146"/>
      <c r="N197" s="57"/>
      <c r="O197" s="146"/>
      <c r="P197" s="63">
        <v>11.1</v>
      </c>
      <c r="Q197" s="146">
        <v>2.8</v>
      </c>
      <c r="R197" s="146">
        <v>1.4</v>
      </c>
      <c r="S197" s="54">
        <v>0.28000000000000003</v>
      </c>
    </row>
    <row r="198" spans="1:19" ht="18.75" customHeight="1" thickBot="1">
      <c r="B198" s="5"/>
      <c r="C198" s="20" t="s">
        <v>47</v>
      </c>
      <c r="D198" s="34"/>
      <c r="E198" s="79" t="s">
        <v>136</v>
      </c>
      <c r="F198" s="23">
        <v>11.57</v>
      </c>
      <c r="G198" s="23">
        <f t="shared" ref="G198:S198" si="63">G193+G195+G197</f>
        <v>21.689999999999998</v>
      </c>
      <c r="H198" s="23">
        <f t="shared" si="63"/>
        <v>61.12</v>
      </c>
      <c r="I198" s="23">
        <f t="shared" si="63"/>
        <v>483</v>
      </c>
      <c r="J198" s="23">
        <f t="shared" si="63"/>
        <v>0.22999999999999998</v>
      </c>
      <c r="K198" s="23">
        <f t="shared" si="63"/>
        <v>1.42</v>
      </c>
      <c r="L198" s="23">
        <f t="shared" si="63"/>
        <v>0.03</v>
      </c>
      <c r="M198" s="23">
        <f t="shared" si="63"/>
        <v>40.08</v>
      </c>
      <c r="N198" s="23"/>
      <c r="O198" s="23"/>
      <c r="P198" s="23">
        <f t="shared" si="63"/>
        <v>175</v>
      </c>
      <c r="Q198" s="23">
        <f t="shared" si="63"/>
        <v>273.5</v>
      </c>
      <c r="R198" s="23">
        <f t="shared" si="63"/>
        <v>82.300000000000011</v>
      </c>
      <c r="S198" s="23">
        <f t="shared" si="63"/>
        <v>2.5999999999999996</v>
      </c>
    </row>
    <row r="199" spans="1:19" ht="24" customHeight="1" thickBot="1">
      <c r="B199" s="5"/>
      <c r="C199" s="13" t="s">
        <v>48</v>
      </c>
      <c r="D199" s="34"/>
      <c r="E199" s="79" t="s">
        <v>137</v>
      </c>
      <c r="F199" s="6">
        <v>12</v>
      </c>
      <c r="G199" s="6">
        <v>22</v>
      </c>
      <c r="H199" s="6">
        <v>71.400000000000006</v>
      </c>
      <c r="I199" s="6">
        <v>530</v>
      </c>
      <c r="J199" s="6">
        <f t="shared" ref="J199:S199" si="64">J194+J196+J197</f>
        <v>0.19999999999999998</v>
      </c>
      <c r="K199" s="6">
        <f t="shared" si="64"/>
        <v>1.45</v>
      </c>
      <c r="L199" s="6">
        <v>10.029999999999999</v>
      </c>
      <c r="M199" s="6">
        <f t="shared" si="64"/>
        <v>0.08</v>
      </c>
      <c r="N199" s="6"/>
      <c r="O199" s="6"/>
      <c r="P199" s="6">
        <f t="shared" si="64"/>
        <v>184.7</v>
      </c>
      <c r="Q199" s="6">
        <f t="shared" si="64"/>
        <v>260.40000000000003</v>
      </c>
      <c r="R199" s="6">
        <f t="shared" si="64"/>
        <v>84.4</v>
      </c>
      <c r="S199" s="6">
        <f t="shared" si="64"/>
        <v>4.28</v>
      </c>
    </row>
    <row r="200" spans="1:19" ht="18" customHeight="1">
      <c r="A200" s="9">
        <v>136</v>
      </c>
      <c r="B200" s="197" t="s">
        <v>9</v>
      </c>
      <c r="C200" s="189" t="s">
        <v>141</v>
      </c>
      <c r="D200" s="105" t="s">
        <v>50</v>
      </c>
      <c r="E200" s="182">
        <v>100</v>
      </c>
      <c r="F200" s="181">
        <v>0.8</v>
      </c>
      <c r="G200" s="181">
        <v>0.1</v>
      </c>
      <c r="H200" s="181">
        <v>2.5</v>
      </c>
      <c r="I200" s="181">
        <v>14</v>
      </c>
      <c r="J200" s="181">
        <v>0.3</v>
      </c>
      <c r="K200" s="181">
        <v>0.04</v>
      </c>
      <c r="L200" s="181">
        <v>10</v>
      </c>
      <c r="M200" s="181">
        <v>0.01</v>
      </c>
      <c r="N200" s="181"/>
      <c r="O200" s="181"/>
      <c r="P200" s="181">
        <v>23</v>
      </c>
      <c r="Q200" s="181">
        <v>42</v>
      </c>
      <c r="R200" s="181">
        <v>14</v>
      </c>
      <c r="S200" s="54">
        <v>0.6</v>
      </c>
    </row>
    <row r="201" spans="1:19" ht="20.25" customHeight="1" thickBot="1">
      <c r="B201" s="198"/>
      <c r="C201" s="185"/>
      <c r="D201" s="181" t="s">
        <v>51</v>
      </c>
      <c r="E201" s="182">
        <v>100</v>
      </c>
      <c r="F201" s="181">
        <v>0.8</v>
      </c>
      <c r="G201" s="181">
        <v>0.1</v>
      </c>
      <c r="H201" s="181">
        <v>2.5</v>
      </c>
      <c r="I201" s="181">
        <v>14</v>
      </c>
      <c r="J201" s="181">
        <v>0.3</v>
      </c>
      <c r="K201" s="181">
        <v>0.04</v>
      </c>
      <c r="L201" s="181">
        <v>10</v>
      </c>
      <c r="M201" s="181">
        <v>0.01</v>
      </c>
      <c r="N201" s="181"/>
      <c r="O201" s="181"/>
      <c r="P201" s="181">
        <v>23</v>
      </c>
      <c r="Q201" s="181">
        <v>42</v>
      </c>
      <c r="R201" s="181">
        <v>14</v>
      </c>
      <c r="S201" s="54">
        <v>0.6</v>
      </c>
    </row>
    <row r="202" spans="1:19" ht="16.5" thickBot="1">
      <c r="A202" s="9">
        <v>98</v>
      </c>
      <c r="B202" s="198"/>
      <c r="C202" s="189" t="s">
        <v>129</v>
      </c>
      <c r="D202" s="118" t="s">
        <v>102</v>
      </c>
      <c r="E202" s="165">
        <v>200</v>
      </c>
      <c r="F202" s="6">
        <v>7.13</v>
      </c>
      <c r="G202" s="6">
        <v>9.17</v>
      </c>
      <c r="H202" s="6">
        <v>18.5</v>
      </c>
      <c r="I202" s="6">
        <v>137</v>
      </c>
      <c r="J202" s="42">
        <v>0.05</v>
      </c>
      <c r="K202" s="42">
        <v>10.23</v>
      </c>
      <c r="L202" s="42">
        <f>3.3*250/100</f>
        <v>8.25</v>
      </c>
      <c r="M202" s="42">
        <v>10</v>
      </c>
      <c r="N202" s="42"/>
      <c r="P202" s="42">
        <v>44.15</v>
      </c>
      <c r="Q202" s="42">
        <v>72.599999999999994</v>
      </c>
      <c r="R202" s="42">
        <v>18.95</v>
      </c>
      <c r="S202" s="42">
        <v>0.98</v>
      </c>
    </row>
    <row r="203" spans="1:19" ht="18" customHeight="1" thickBot="1">
      <c r="B203" s="198"/>
      <c r="C203" s="185"/>
      <c r="D203" s="118" t="s">
        <v>76</v>
      </c>
      <c r="E203" s="165">
        <v>250</v>
      </c>
      <c r="F203" s="6">
        <v>7.13</v>
      </c>
      <c r="G203" s="6">
        <v>9.17</v>
      </c>
      <c r="H203" s="6">
        <v>18.5</v>
      </c>
      <c r="I203" s="6">
        <v>137</v>
      </c>
      <c r="J203" s="42">
        <v>0.05</v>
      </c>
      <c r="K203" s="42">
        <v>10.23</v>
      </c>
      <c r="L203" s="42">
        <f>3.3*250/100</f>
        <v>8.25</v>
      </c>
      <c r="M203" s="42">
        <v>10</v>
      </c>
      <c r="N203" s="42"/>
      <c r="O203" s="111"/>
      <c r="P203" s="42">
        <v>44.15</v>
      </c>
      <c r="Q203" s="42">
        <v>72.599999999999994</v>
      </c>
      <c r="R203" s="42">
        <v>18.95</v>
      </c>
      <c r="S203" s="42">
        <v>0.98</v>
      </c>
    </row>
    <row r="204" spans="1:19" ht="4.5" customHeight="1" thickBot="1">
      <c r="B204" s="198"/>
      <c r="C204" s="109"/>
      <c r="D204" s="118"/>
      <c r="E204" s="165"/>
      <c r="F204" s="6"/>
      <c r="G204" s="6"/>
      <c r="H204" s="6"/>
      <c r="I204" s="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1:19" ht="16.5" thickBot="1">
      <c r="A205" s="9">
        <v>291</v>
      </c>
      <c r="B205" s="198"/>
      <c r="C205" s="189" t="s">
        <v>130</v>
      </c>
      <c r="D205" s="118" t="s">
        <v>47</v>
      </c>
      <c r="E205" s="165">
        <v>200</v>
      </c>
      <c r="F205" s="36">
        <v>21.62</v>
      </c>
      <c r="G205" s="36">
        <v>10.74</v>
      </c>
      <c r="H205" s="36">
        <v>43.74</v>
      </c>
      <c r="I205" s="37">
        <v>358</v>
      </c>
      <c r="J205" s="38">
        <v>0.17</v>
      </c>
      <c r="K205" s="38">
        <v>7.84</v>
      </c>
      <c r="L205" s="36">
        <f>0.4*200/100</f>
        <v>0.8</v>
      </c>
      <c r="M205" s="36">
        <v>33.6</v>
      </c>
      <c r="N205" s="36">
        <f>2.2*200/100</f>
        <v>4.4000000000000004</v>
      </c>
      <c r="P205" s="36">
        <v>43.31</v>
      </c>
      <c r="Q205" s="36">
        <v>227.2</v>
      </c>
      <c r="R205" s="36">
        <v>64.72</v>
      </c>
      <c r="S205" s="36">
        <v>2.2400000000000002</v>
      </c>
    </row>
    <row r="206" spans="1:19" ht="20.25" customHeight="1" thickBot="1">
      <c r="B206" s="198"/>
      <c r="C206" s="185"/>
      <c r="D206" s="118" t="s">
        <v>76</v>
      </c>
      <c r="E206" s="165">
        <v>240</v>
      </c>
      <c r="F206" s="36">
        <v>21.62</v>
      </c>
      <c r="G206" s="36">
        <v>10.74</v>
      </c>
      <c r="H206" s="36">
        <v>43.74</v>
      </c>
      <c r="I206" s="37">
        <v>358</v>
      </c>
      <c r="J206" s="38">
        <v>0.17</v>
      </c>
      <c r="K206" s="38">
        <v>7.84</v>
      </c>
      <c r="L206" s="36">
        <f>0.4*200/100</f>
        <v>0.8</v>
      </c>
      <c r="M206" s="36">
        <v>33.6</v>
      </c>
      <c r="N206" s="36">
        <f>2.2*200/100</f>
        <v>4.4000000000000004</v>
      </c>
      <c r="O206" s="111"/>
      <c r="P206" s="36">
        <v>43.31</v>
      </c>
      <c r="Q206" s="36">
        <v>227.2</v>
      </c>
      <c r="R206" s="36">
        <v>64.72</v>
      </c>
      <c r="S206" s="36">
        <v>2.2400000000000002</v>
      </c>
    </row>
    <row r="207" spans="1:19" ht="34.5" customHeight="1" thickBot="1">
      <c r="A207" s="9">
        <v>376</v>
      </c>
      <c r="B207" s="198"/>
      <c r="C207" s="145" t="s">
        <v>22</v>
      </c>
      <c r="D207" s="145" t="s">
        <v>72</v>
      </c>
      <c r="E207" s="162">
        <v>200</v>
      </c>
      <c r="F207" s="40">
        <v>0.4</v>
      </c>
      <c r="G207" s="40"/>
      <c r="H207" s="40">
        <v>37.799999999999997</v>
      </c>
      <c r="I207" s="40">
        <v>113</v>
      </c>
      <c r="J207" s="40">
        <v>0</v>
      </c>
      <c r="K207" s="40">
        <v>0.4</v>
      </c>
      <c r="L207" s="40">
        <v>0</v>
      </c>
      <c r="M207" s="40">
        <v>0</v>
      </c>
      <c r="N207" s="40"/>
      <c r="O207" s="111"/>
      <c r="P207" s="40">
        <v>31.8</v>
      </c>
      <c r="Q207" s="40">
        <v>15.4</v>
      </c>
      <c r="R207" s="40">
        <v>6</v>
      </c>
      <c r="S207" s="40">
        <v>1.2</v>
      </c>
    </row>
    <row r="208" spans="1:19" ht="29.25" customHeight="1" thickBot="1">
      <c r="B208" s="199"/>
      <c r="C208" s="145" t="s">
        <v>11</v>
      </c>
      <c r="D208" s="125" t="s">
        <v>68</v>
      </c>
      <c r="E208" s="162">
        <v>50</v>
      </c>
      <c r="F208" s="145">
        <v>3.3</v>
      </c>
      <c r="G208" s="145">
        <v>0.6</v>
      </c>
      <c r="H208" s="145">
        <v>16.7</v>
      </c>
      <c r="I208" s="145">
        <v>87</v>
      </c>
      <c r="J208" s="144">
        <v>0.9</v>
      </c>
      <c r="K208" s="144">
        <v>0.02</v>
      </c>
      <c r="L208" s="144"/>
      <c r="M208" s="144"/>
      <c r="N208" s="144">
        <v>0.7</v>
      </c>
      <c r="O208" s="146"/>
      <c r="P208" s="144">
        <v>35</v>
      </c>
      <c r="Q208" s="144">
        <v>158</v>
      </c>
      <c r="R208" s="144">
        <v>47</v>
      </c>
      <c r="S208" s="39">
        <v>3.9</v>
      </c>
    </row>
    <row r="209" spans="1:20" ht="22.5" customHeight="1" thickBot="1">
      <c r="B209" s="1"/>
      <c r="C209" s="20" t="s">
        <v>47</v>
      </c>
      <c r="D209" s="34"/>
      <c r="E209" s="172">
        <v>750</v>
      </c>
      <c r="F209" s="24">
        <f>F201+F202+F205+F207+F208</f>
        <v>33.25</v>
      </c>
      <c r="G209" s="24">
        <f t="shared" ref="G209:S209" si="65">G201+G202+G205+G207+G208</f>
        <v>20.61</v>
      </c>
      <c r="H209" s="24">
        <f t="shared" si="65"/>
        <v>119.24000000000001</v>
      </c>
      <c r="I209" s="24">
        <f t="shared" si="65"/>
        <v>709</v>
      </c>
      <c r="J209" s="24">
        <f t="shared" si="65"/>
        <v>1.42</v>
      </c>
      <c r="K209" s="24">
        <f t="shared" si="65"/>
        <v>18.529999999999998</v>
      </c>
      <c r="L209" s="24">
        <f t="shared" si="65"/>
        <v>19.05</v>
      </c>
      <c r="M209" s="24">
        <f t="shared" si="65"/>
        <v>43.61</v>
      </c>
      <c r="N209" s="24">
        <f t="shared" si="65"/>
        <v>5.1000000000000005</v>
      </c>
      <c r="O209" s="24"/>
      <c r="P209" s="24">
        <f t="shared" si="65"/>
        <v>177.26000000000002</v>
      </c>
      <c r="Q209" s="24">
        <f t="shared" si="65"/>
        <v>515.19999999999993</v>
      </c>
      <c r="R209" s="24">
        <f t="shared" si="65"/>
        <v>150.67000000000002</v>
      </c>
      <c r="S209" s="24">
        <f t="shared" si="65"/>
        <v>8.92</v>
      </c>
    </row>
    <row r="210" spans="1:20" ht="15.75" customHeight="1" thickBot="1">
      <c r="B210" s="1"/>
      <c r="C210" s="13" t="s">
        <v>48</v>
      </c>
      <c r="D210" s="34"/>
      <c r="E210" s="172">
        <v>840</v>
      </c>
      <c r="F210" s="24">
        <f>F201+F203+F206+F207+F208</f>
        <v>33.25</v>
      </c>
      <c r="G210" s="24">
        <f t="shared" ref="G210:S210" si="66">G201+G203+G206+G207+G208</f>
        <v>20.61</v>
      </c>
      <c r="H210" s="24">
        <f t="shared" si="66"/>
        <v>119.24000000000001</v>
      </c>
      <c r="I210" s="24">
        <f t="shared" si="66"/>
        <v>709</v>
      </c>
      <c r="J210" s="24">
        <f t="shared" si="66"/>
        <v>1.42</v>
      </c>
      <c r="K210" s="24">
        <f t="shared" si="66"/>
        <v>18.529999999999998</v>
      </c>
      <c r="L210" s="24">
        <f t="shared" si="66"/>
        <v>19.05</v>
      </c>
      <c r="M210" s="24">
        <f t="shared" si="66"/>
        <v>43.61</v>
      </c>
      <c r="N210" s="24">
        <f t="shared" si="66"/>
        <v>5.1000000000000005</v>
      </c>
      <c r="O210" s="24"/>
      <c r="P210" s="24">
        <f t="shared" si="66"/>
        <v>177.26000000000002</v>
      </c>
      <c r="Q210" s="24">
        <f t="shared" si="66"/>
        <v>515.19999999999993</v>
      </c>
      <c r="R210" s="24">
        <f t="shared" si="66"/>
        <v>150.67000000000002</v>
      </c>
      <c r="S210" s="24">
        <f t="shared" si="66"/>
        <v>8.92</v>
      </c>
    </row>
    <row r="211" spans="1:20" ht="22.5" customHeight="1" thickBot="1">
      <c r="B211" s="1"/>
      <c r="C211" s="183" t="s">
        <v>46</v>
      </c>
      <c r="D211" s="85"/>
      <c r="E211" s="18"/>
      <c r="F211" s="18">
        <f t="shared" ref="F211:I212" si="67">F198+F209</f>
        <v>44.82</v>
      </c>
      <c r="G211" s="18">
        <f t="shared" si="67"/>
        <v>42.3</v>
      </c>
      <c r="H211" s="18">
        <f t="shared" si="67"/>
        <v>180.36</v>
      </c>
      <c r="I211" s="18">
        <f t="shared" si="67"/>
        <v>1192</v>
      </c>
      <c r="J211" s="18">
        <f t="shared" ref="J211:S211" si="68">J198+J209</f>
        <v>1.65</v>
      </c>
      <c r="K211" s="18">
        <f t="shared" si="68"/>
        <v>19.949999999999996</v>
      </c>
      <c r="L211" s="18">
        <f t="shared" si="68"/>
        <v>19.080000000000002</v>
      </c>
      <c r="M211" s="18">
        <f t="shared" si="68"/>
        <v>83.69</v>
      </c>
      <c r="N211" s="18">
        <f t="shared" si="68"/>
        <v>5.1000000000000005</v>
      </c>
      <c r="O211" s="18"/>
      <c r="P211" s="18">
        <f t="shared" si="68"/>
        <v>352.26</v>
      </c>
      <c r="Q211" s="18">
        <f t="shared" si="68"/>
        <v>788.69999999999993</v>
      </c>
      <c r="R211" s="18">
        <f t="shared" si="68"/>
        <v>232.97000000000003</v>
      </c>
      <c r="S211" s="18">
        <f t="shared" si="68"/>
        <v>11.52</v>
      </c>
    </row>
    <row r="212" spans="1:20" ht="19.5" customHeight="1" thickBot="1">
      <c r="B212" s="1"/>
      <c r="C212" s="183"/>
      <c r="D212" s="21"/>
      <c r="E212" s="18"/>
      <c r="F212" s="18">
        <f t="shared" si="67"/>
        <v>45.25</v>
      </c>
      <c r="G212" s="18">
        <f t="shared" si="67"/>
        <v>42.61</v>
      </c>
      <c r="H212" s="18">
        <f t="shared" si="67"/>
        <v>190.64000000000001</v>
      </c>
      <c r="I212" s="18">
        <f t="shared" si="67"/>
        <v>1239</v>
      </c>
      <c r="J212" s="18">
        <f t="shared" ref="J212:S212" si="69">J199+J210</f>
        <v>1.6199999999999999</v>
      </c>
      <c r="K212" s="18">
        <f t="shared" si="69"/>
        <v>19.979999999999997</v>
      </c>
      <c r="L212" s="18">
        <f t="shared" si="69"/>
        <v>29.08</v>
      </c>
      <c r="M212" s="18">
        <f t="shared" si="69"/>
        <v>43.69</v>
      </c>
      <c r="N212" s="18">
        <f t="shared" si="69"/>
        <v>5.1000000000000005</v>
      </c>
      <c r="O212" s="18"/>
      <c r="P212" s="18">
        <f t="shared" si="69"/>
        <v>361.96000000000004</v>
      </c>
      <c r="Q212" s="18">
        <f>Q199+Q210</f>
        <v>775.59999999999991</v>
      </c>
      <c r="R212" s="18">
        <f t="shared" si="69"/>
        <v>235.07000000000002</v>
      </c>
      <c r="S212" s="18">
        <f t="shared" si="69"/>
        <v>13.2</v>
      </c>
    </row>
    <row r="213" spans="1:20" ht="16.5" thickBot="1">
      <c r="B213" s="185" t="s">
        <v>41</v>
      </c>
      <c r="C213" s="186"/>
      <c r="D213" s="187"/>
      <c r="E213" s="186"/>
      <c r="F213" s="186"/>
      <c r="G213" s="186"/>
      <c r="H213" s="186"/>
      <c r="I213" s="188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20" ht="32.25" customHeight="1" thickBot="1">
      <c r="A214" s="9">
        <v>3</v>
      </c>
      <c r="B214" s="197" t="s">
        <v>6</v>
      </c>
      <c r="C214" s="145" t="s">
        <v>118</v>
      </c>
      <c r="D214" s="145" t="s">
        <v>68</v>
      </c>
      <c r="E214" s="162">
        <v>75</v>
      </c>
      <c r="F214" s="36">
        <v>5.8</v>
      </c>
      <c r="G214" s="36">
        <v>8.3000000000000007</v>
      </c>
      <c r="H214" s="36">
        <v>14.83</v>
      </c>
      <c r="I214" s="37">
        <v>157</v>
      </c>
      <c r="J214" s="52">
        <v>0.04</v>
      </c>
      <c r="K214" s="52">
        <f>0.3*80/100</f>
        <v>0.24</v>
      </c>
      <c r="L214" s="52">
        <v>0.11</v>
      </c>
      <c r="M214" s="53">
        <v>59</v>
      </c>
      <c r="N214" s="58"/>
      <c r="O214" s="27"/>
      <c r="P214" s="64">
        <v>139.19999999999999</v>
      </c>
      <c r="Q214" s="53">
        <v>96</v>
      </c>
      <c r="R214" s="53">
        <v>9.4499999999999993</v>
      </c>
      <c r="S214" s="53">
        <v>0.49</v>
      </c>
    </row>
    <row r="215" spans="1:20" ht="16.5" thickBot="1">
      <c r="A215" s="9">
        <v>255</v>
      </c>
      <c r="B215" s="198"/>
      <c r="C215" s="189" t="s">
        <v>94</v>
      </c>
      <c r="D215" s="118" t="s">
        <v>47</v>
      </c>
      <c r="E215" s="162">
        <v>200</v>
      </c>
      <c r="F215" s="36">
        <v>6.4</v>
      </c>
      <c r="G215" s="36">
        <v>11.4</v>
      </c>
      <c r="H215" s="36">
        <v>35.76</v>
      </c>
      <c r="I215" s="37">
        <v>270.66000000000003</v>
      </c>
      <c r="J215" s="40">
        <v>0.12</v>
      </c>
      <c r="K215" s="40">
        <v>1.4</v>
      </c>
      <c r="L215" s="40">
        <v>0.08</v>
      </c>
      <c r="M215" s="40">
        <v>0.08</v>
      </c>
      <c r="N215" s="40">
        <v>0.76</v>
      </c>
      <c r="O215" s="97"/>
      <c r="P215" s="40">
        <v>167</v>
      </c>
      <c r="Q215" s="40">
        <v>250.6</v>
      </c>
      <c r="R215" s="40">
        <v>37.200000000000003</v>
      </c>
      <c r="S215" s="40">
        <v>0.92</v>
      </c>
    </row>
    <row r="216" spans="1:20" ht="16.5" thickBot="1">
      <c r="B216" s="198"/>
      <c r="C216" s="185"/>
      <c r="D216" s="118" t="s">
        <v>76</v>
      </c>
      <c r="E216" s="162">
        <v>250</v>
      </c>
      <c r="F216" s="36">
        <v>6.4</v>
      </c>
      <c r="G216" s="36">
        <v>11.4</v>
      </c>
      <c r="H216" s="36">
        <v>35.76</v>
      </c>
      <c r="I216" s="37">
        <v>270.66000000000003</v>
      </c>
      <c r="J216" s="40">
        <v>0.12</v>
      </c>
      <c r="K216" s="40">
        <v>1.4</v>
      </c>
      <c r="L216" s="40">
        <v>0.08</v>
      </c>
      <c r="M216" s="40">
        <v>0.08</v>
      </c>
      <c r="N216" s="40">
        <v>0.76</v>
      </c>
      <c r="O216" s="111"/>
      <c r="P216" s="40">
        <v>167</v>
      </c>
      <c r="Q216" s="40">
        <v>250.6</v>
      </c>
      <c r="R216" s="40">
        <v>37.200000000000003</v>
      </c>
      <c r="S216" s="40">
        <v>0.92</v>
      </c>
    </row>
    <row r="217" spans="1:20" ht="32.25" customHeight="1" thickBot="1">
      <c r="A217" s="9">
        <v>376</v>
      </c>
      <c r="B217" s="198"/>
      <c r="C217" s="145" t="s">
        <v>8</v>
      </c>
      <c r="D217" s="145" t="s">
        <v>54</v>
      </c>
      <c r="E217" s="162">
        <v>200</v>
      </c>
      <c r="F217" s="145">
        <v>7.0000000000000007E-2</v>
      </c>
      <c r="G217" s="145">
        <v>0.02</v>
      </c>
      <c r="H217" s="145">
        <v>15</v>
      </c>
      <c r="I217" s="143">
        <v>60</v>
      </c>
      <c r="J217" s="146"/>
      <c r="K217" s="146"/>
      <c r="L217" s="146">
        <v>0.03</v>
      </c>
      <c r="M217" s="146"/>
      <c r="N217" s="57"/>
      <c r="O217" s="146"/>
      <c r="P217" s="63">
        <v>11.1</v>
      </c>
      <c r="Q217" s="146">
        <v>2.8</v>
      </c>
      <c r="R217" s="146">
        <v>1.4</v>
      </c>
      <c r="S217" s="54">
        <v>0.28000000000000003</v>
      </c>
    </row>
    <row r="218" spans="1:20" s="111" customFormat="1" ht="32.25" customHeight="1" thickBot="1">
      <c r="B218" s="198"/>
      <c r="C218" s="177" t="s">
        <v>96</v>
      </c>
      <c r="D218" s="73" t="s">
        <v>97</v>
      </c>
      <c r="E218" s="165">
        <v>30</v>
      </c>
      <c r="F218" s="179">
        <v>1.5</v>
      </c>
      <c r="G218" s="179">
        <v>0.9</v>
      </c>
      <c r="H218" s="179">
        <v>19.5</v>
      </c>
      <c r="I218" s="179">
        <v>90</v>
      </c>
      <c r="J218" s="178">
        <v>0.03</v>
      </c>
      <c r="K218" s="178">
        <v>0.01</v>
      </c>
      <c r="L218" s="178">
        <v>0</v>
      </c>
      <c r="M218" s="178">
        <v>0.8</v>
      </c>
      <c r="N218" s="178">
        <v>0</v>
      </c>
      <c r="O218" s="27"/>
      <c r="P218" s="178">
        <v>3.7</v>
      </c>
      <c r="Q218" s="178">
        <v>17</v>
      </c>
      <c r="R218" s="178">
        <v>3</v>
      </c>
      <c r="S218" s="178">
        <v>0.3</v>
      </c>
    </row>
    <row r="219" spans="1:20" ht="18.75" customHeight="1" thickBot="1">
      <c r="B219" s="198"/>
      <c r="C219" s="20" t="s">
        <v>47</v>
      </c>
      <c r="D219" s="34"/>
      <c r="E219" s="165">
        <v>505</v>
      </c>
      <c r="F219" s="6">
        <v>13.77</v>
      </c>
      <c r="G219" s="6" t="s">
        <v>139</v>
      </c>
      <c r="H219" s="6">
        <v>85.09</v>
      </c>
      <c r="I219" s="6">
        <v>577.66</v>
      </c>
      <c r="J219" s="6">
        <f t="shared" ref="J219:S219" si="70">J214+J215+J217</f>
        <v>0.16</v>
      </c>
      <c r="K219" s="6">
        <f t="shared" si="70"/>
        <v>1.64</v>
      </c>
      <c r="L219" s="6">
        <f t="shared" si="70"/>
        <v>0.22</v>
      </c>
      <c r="M219" s="6">
        <f t="shared" si="70"/>
        <v>59.08</v>
      </c>
      <c r="N219" s="6"/>
      <c r="O219" s="6"/>
      <c r="P219" s="6">
        <f t="shared" si="70"/>
        <v>317.3</v>
      </c>
      <c r="Q219" s="6">
        <f t="shared" si="70"/>
        <v>349.40000000000003</v>
      </c>
      <c r="R219" s="6">
        <f t="shared" si="70"/>
        <v>48.050000000000004</v>
      </c>
      <c r="S219" s="6">
        <f t="shared" si="70"/>
        <v>1.6900000000000002</v>
      </c>
      <c r="T219" s="111"/>
    </row>
    <row r="220" spans="1:20" ht="18.75" customHeight="1" thickBot="1">
      <c r="B220" s="199"/>
      <c r="C220" s="119" t="s">
        <v>48</v>
      </c>
      <c r="D220" s="34"/>
      <c r="E220" s="166">
        <v>555</v>
      </c>
      <c r="F220" s="3">
        <v>13.77</v>
      </c>
      <c r="G220" s="3">
        <v>20.62</v>
      </c>
      <c r="H220" s="3">
        <v>85.09</v>
      </c>
      <c r="I220" s="3">
        <v>577.66</v>
      </c>
      <c r="J220" s="3">
        <f t="shared" ref="J220:S220" si="71">J214+J216+J217</f>
        <v>0.16</v>
      </c>
      <c r="K220" s="3">
        <f t="shared" si="71"/>
        <v>1.64</v>
      </c>
      <c r="L220" s="3">
        <f t="shared" si="71"/>
        <v>0.22</v>
      </c>
      <c r="M220" s="3">
        <f t="shared" si="71"/>
        <v>59.08</v>
      </c>
      <c r="N220" s="3"/>
      <c r="O220" s="3"/>
      <c r="P220" s="3">
        <f t="shared" si="71"/>
        <v>317.3</v>
      </c>
      <c r="Q220" s="3">
        <f t="shared" si="71"/>
        <v>349.40000000000003</v>
      </c>
      <c r="R220" s="3">
        <f t="shared" si="71"/>
        <v>48.050000000000004</v>
      </c>
      <c r="S220" s="3">
        <f t="shared" si="71"/>
        <v>1.6900000000000002</v>
      </c>
    </row>
    <row r="221" spans="1:20" ht="13.5" customHeight="1" thickBot="1">
      <c r="A221" s="9">
        <v>106</v>
      </c>
      <c r="B221" s="196" t="s">
        <v>9</v>
      </c>
      <c r="C221" s="190" t="s">
        <v>142</v>
      </c>
      <c r="D221" s="73" t="s">
        <v>50</v>
      </c>
      <c r="E221" s="180">
        <v>100</v>
      </c>
      <c r="F221" s="180">
        <v>1.1000000000000001</v>
      </c>
      <c r="G221" s="180">
        <v>0.2</v>
      </c>
      <c r="H221" s="180">
        <v>3.8</v>
      </c>
      <c r="I221" s="180">
        <v>24</v>
      </c>
      <c r="J221" s="40">
        <v>0.06</v>
      </c>
      <c r="K221" s="40">
        <v>25</v>
      </c>
      <c r="L221" s="40">
        <v>0</v>
      </c>
      <c r="M221" s="40">
        <v>0</v>
      </c>
      <c r="N221" s="40">
        <v>0.7</v>
      </c>
      <c r="O221" s="111"/>
      <c r="P221" s="40">
        <v>14</v>
      </c>
      <c r="Q221" s="40">
        <v>26</v>
      </c>
      <c r="R221" s="37">
        <v>20</v>
      </c>
      <c r="S221" s="37">
        <v>0.9</v>
      </c>
    </row>
    <row r="222" spans="1:20" ht="13.5" customHeight="1" thickBot="1">
      <c r="B222" s="194"/>
      <c r="C222" s="191"/>
      <c r="D222" s="180" t="s">
        <v>51</v>
      </c>
      <c r="E222" s="180">
        <v>100</v>
      </c>
      <c r="F222" s="180">
        <v>1.1000000000000001</v>
      </c>
      <c r="G222" s="180">
        <v>0.2</v>
      </c>
      <c r="H222" s="180">
        <v>3.8</v>
      </c>
      <c r="I222" s="180">
        <v>24</v>
      </c>
      <c r="J222" s="40">
        <v>0.06</v>
      </c>
      <c r="K222" s="40">
        <v>25</v>
      </c>
      <c r="L222" s="40">
        <v>0</v>
      </c>
      <c r="M222" s="40">
        <v>0</v>
      </c>
      <c r="N222" s="40">
        <v>0.7</v>
      </c>
      <c r="O222" s="111"/>
      <c r="P222" s="40">
        <v>14</v>
      </c>
      <c r="Q222" s="40">
        <v>26</v>
      </c>
      <c r="R222" s="37">
        <v>20</v>
      </c>
      <c r="S222" s="37">
        <v>0.9</v>
      </c>
    </row>
    <row r="223" spans="1:20" ht="16.5" customHeight="1" thickBot="1">
      <c r="A223" s="9">
        <v>67</v>
      </c>
      <c r="B223" s="194"/>
      <c r="C223" s="190" t="s">
        <v>125</v>
      </c>
      <c r="D223" s="73" t="s">
        <v>47</v>
      </c>
      <c r="E223" s="165">
        <v>200</v>
      </c>
      <c r="F223" s="6">
        <v>7.04</v>
      </c>
      <c r="G223" s="6">
        <v>8.16</v>
      </c>
      <c r="H223" s="6">
        <v>6.79</v>
      </c>
      <c r="I223" s="6">
        <v>129</v>
      </c>
      <c r="J223" s="40">
        <f>0.03*200/100</f>
        <v>0.06</v>
      </c>
      <c r="K223" s="40">
        <v>15.12</v>
      </c>
      <c r="L223" s="40">
        <f>8*200/100</f>
        <v>16</v>
      </c>
      <c r="M223" s="40">
        <v>10</v>
      </c>
      <c r="N223" s="36">
        <v>1.9</v>
      </c>
      <c r="O223" s="111"/>
      <c r="P223" s="40">
        <v>42.95</v>
      </c>
      <c r="Q223" s="40">
        <v>69.3</v>
      </c>
      <c r="R223" s="40">
        <v>22.55</v>
      </c>
      <c r="S223" s="40">
        <v>1.04</v>
      </c>
    </row>
    <row r="224" spans="1:20" ht="16.5" thickBot="1">
      <c r="B224" s="194"/>
      <c r="C224" s="191"/>
      <c r="D224" s="74" t="s">
        <v>76</v>
      </c>
      <c r="E224" s="162">
        <v>250</v>
      </c>
      <c r="F224" s="84" t="s">
        <v>122</v>
      </c>
      <c r="G224" s="84" t="s">
        <v>123</v>
      </c>
      <c r="H224" s="84">
        <v>7.5</v>
      </c>
      <c r="I224" s="83">
        <v>146</v>
      </c>
      <c r="J224" s="40">
        <v>7.0000000000000007E-2</v>
      </c>
      <c r="K224" s="40">
        <v>18.82</v>
      </c>
      <c r="L224" s="40">
        <f>8*250/100</f>
        <v>20</v>
      </c>
      <c r="M224" s="40">
        <v>10</v>
      </c>
      <c r="N224" s="36">
        <v>2.4</v>
      </c>
      <c r="O224" s="148"/>
      <c r="P224" s="40">
        <v>51.55</v>
      </c>
      <c r="Q224" s="40">
        <v>86.6</v>
      </c>
      <c r="R224" s="40">
        <v>27.05</v>
      </c>
      <c r="S224" s="40">
        <v>1.2</v>
      </c>
    </row>
    <row r="225" spans="1:19" ht="29.25" customHeight="1" thickBot="1">
      <c r="A225" s="9">
        <v>279</v>
      </c>
      <c r="B225" s="194"/>
      <c r="C225" s="145" t="s">
        <v>115</v>
      </c>
      <c r="D225" s="128" t="s">
        <v>101</v>
      </c>
      <c r="E225" s="162">
        <v>110</v>
      </c>
      <c r="F225" s="145">
        <v>7.46</v>
      </c>
      <c r="G225" s="145">
        <v>8.2899999999999991</v>
      </c>
      <c r="H225" s="145">
        <v>9.44</v>
      </c>
      <c r="I225" s="145">
        <v>142</v>
      </c>
      <c r="J225" s="38">
        <v>0.05</v>
      </c>
      <c r="K225" s="38">
        <v>0.41</v>
      </c>
      <c r="L225" s="38">
        <v>1</v>
      </c>
      <c r="M225" s="38">
        <v>33</v>
      </c>
      <c r="N225" s="38"/>
      <c r="O225" s="111"/>
      <c r="P225" s="36">
        <v>23.65</v>
      </c>
      <c r="Q225" s="36">
        <v>83.14</v>
      </c>
      <c r="R225" s="36">
        <v>16.5</v>
      </c>
      <c r="S225" s="36">
        <v>0.68</v>
      </c>
    </row>
    <row r="226" spans="1:19" ht="16.5" customHeight="1" thickBot="1">
      <c r="A226" s="9">
        <v>204</v>
      </c>
      <c r="B226" s="194"/>
      <c r="C226" s="190" t="s">
        <v>28</v>
      </c>
      <c r="D226" s="73" t="s">
        <v>47</v>
      </c>
      <c r="E226" s="162">
        <v>200</v>
      </c>
      <c r="F226" s="40">
        <v>7.68</v>
      </c>
      <c r="G226" s="40">
        <v>1.1000000000000001</v>
      </c>
      <c r="H226" s="40">
        <v>41.52</v>
      </c>
      <c r="I226" s="37">
        <v>207</v>
      </c>
      <c r="J226" s="40">
        <v>0.11</v>
      </c>
      <c r="K226" s="40">
        <v>0</v>
      </c>
      <c r="L226" s="40"/>
      <c r="M226" s="40"/>
      <c r="N226" s="40"/>
      <c r="O226" s="111"/>
      <c r="P226" s="40">
        <v>10</v>
      </c>
      <c r="Q226" s="40">
        <v>63.3</v>
      </c>
      <c r="R226" s="40">
        <v>30.2</v>
      </c>
      <c r="S226" s="40">
        <v>1.63</v>
      </c>
    </row>
    <row r="227" spans="1:19" ht="16.5" thickBot="1">
      <c r="B227" s="194"/>
      <c r="C227" s="191"/>
      <c r="D227" s="74" t="s">
        <v>76</v>
      </c>
      <c r="E227" s="162">
        <v>230</v>
      </c>
      <c r="F227" s="11">
        <v>8.8000000000000007</v>
      </c>
      <c r="G227" s="11">
        <v>1.26</v>
      </c>
      <c r="H227" s="11">
        <v>47.74</v>
      </c>
      <c r="I227" s="11">
        <v>238</v>
      </c>
      <c r="J227" s="25">
        <v>0.13</v>
      </c>
      <c r="K227" s="25">
        <v>0</v>
      </c>
      <c r="L227" s="25"/>
      <c r="M227" s="25"/>
      <c r="N227" s="25"/>
      <c r="O227" s="22"/>
      <c r="P227" s="25">
        <v>11.5</v>
      </c>
      <c r="Q227" s="25">
        <v>72.790000000000006</v>
      </c>
      <c r="R227" s="25">
        <v>34.729999999999997</v>
      </c>
      <c r="S227" s="86">
        <v>1.87</v>
      </c>
    </row>
    <row r="228" spans="1:19" ht="31.5" customHeight="1" thickBot="1">
      <c r="A228" s="9">
        <v>379</v>
      </c>
      <c r="B228" s="194"/>
      <c r="C228" s="145" t="s">
        <v>29</v>
      </c>
      <c r="D228" s="74" t="s">
        <v>78</v>
      </c>
      <c r="E228" s="162">
        <v>200</v>
      </c>
      <c r="F228" s="51">
        <v>3.17</v>
      </c>
      <c r="G228" s="51">
        <v>2.68</v>
      </c>
      <c r="H228" s="51">
        <v>15.95</v>
      </c>
      <c r="I228" s="51">
        <v>101</v>
      </c>
      <c r="J228" s="51">
        <v>0.04</v>
      </c>
      <c r="K228" s="51">
        <v>1.3</v>
      </c>
      <c r="L228" s="51">
        <f>0.4*200/200</f>
        <v>0.4</v>
      </c>
      <c r="M228" s="51">
        <v>20</v>
      </c>
      <c r="N228" s="51">
        <v>0</v>
      </c>
      <c r="O228" s="111"/>
      <c r="P228" s="51">
        <v>125.78</v>
      </c>
      <c r="Q228" s="51">
        <v>90</v>
      </c>
      <c r="R228" s="144">
        <v>14</v>
      </c>
      <c r="S228" s="149">
        <v>0.13</v>
      </c>
    </row>
    <row r="229" spans="1:19" ht="18" customHeight="1" thickBot="1">
      <c r="B229" s="195"/>
      <c r="C229" s="145" t="s">
        <v>11</v>
      </c>
      <c r="D229" s="125" t="s">
        <v>68</v>
      </c>
      <c r="E229" s="162">
        <v>50</v>
      </c>
      <c r="F229" s="145">
        <v>3.3</v>
      </c>
      <c r="G229" s="145">
        <v>0.6</v>
      </c>
      <c r="H229" s="145">
        <v>16.7</v>
      </c>
      <c r="I229" s="145">
        <v>87</v>
      </c>
      <c r="J229" s="144">
        <v>0.9</v>
      </c>
      <c r="K229" s="144">
        <v>0.02</v>
      </c>
      <c r="L229" s="144"/>
      <c r="M229" s="144"/>
      <c r="N229" s="144">
        <v>0.7</v>
      </c>
      <c r="O229" s="146"/>
      <c r="P229" s="144">
        <v>35</v>
      </c>
      <c r="Q229" s="144">
        <v>158</v>
      </c>
      <c r="R229" s="144">
        <v>47</v>
      </c>
      <c r="S229" s="39">
        <v>3.9</v>
      </c>
    </row>
    <row r="230" spans="1:19" ht="15.75">
      <c r="C230" s="20" t="s">
        <v>47</v>
      </c>
      <c r="D230" s="20"/>
      <c r="E230" s="158">
        <v>860</v>
      </c>
      <c r="F230" s="115">
        <f>F221+F223+F225+F226+F228+F229</f>
        <v>29.750000000000004</v>
      </c>
      <c r="G230" s="115">
        <v>21.03</v>
      </c>
      <c r="H230" s="115">
        <f t="shared" ref="H230:S230" si="72">H221+H223+H225+H226+H228+H229</f>
        <v>94.2</v>
      </c>
      <c r="I230" s="115">
        <f t="shared" si="72"/>
        <v>690</v>
      </c>
      <c r="J230" s="115">
        <f t="shared" si="72"/>
        <v>1.22</v>
      </c>
      <c r="K230" s="115">
        <f t="shared" si="72"/>
        <v>41.849999999999994</v>
      </c>
      <c r="L230" s="115">
        <f t="shared" si="72"/>
        <v>17.399999999999999</v>
      </c>
      <c r="M230" s="115">
        <f t="shared" si="72"/>
        <v>63</v>
      </c>
      <c r="N230" s="115">
        <f t="shared" si="72"/>
        <v>3.3</v>
      </c>
      <c r="O230" s="115">
        <f t="shared" si="72"/>
        <v>0</v>
      </c>
      <c r="P230" s="115">
        <f t="shared" si="72"/>
        <v>251.38</v>
      </c>
      <c r="Q230" s="115">
        <f t="shared" si="72"/>
        <v>489.74</v>
      </c>
      <c r="R230" s="115">
        <f t="shared" si="72"/>
        <v>150.25</v>
      </c>
      <c r="S230" s="115">
        <f t="shared" si="72"/>
        <v>8.2799999999999994</v>
      </c>
    </row>
    <row r="231" spans="1:19" ht="15.75">
      <c r="C231" s="13" t="s">
        <v>48</v>
      </c>
      <c r="D231" s="13"/>
      <c r="E231" s="158">
        <v>940</v>
      </c>
      <c r="F231" s="115">
        <f>F222+F224+F225+F227+F228+F229</f>
        <v>31.220000000000002</v>
      </c>
      <c r="G231" s="115">
        <f>G222+G224+G225+G227+G228+G229</f>
        <v>22.17</v>
      </c>
      <c r="H231" s="115">
        <f>H222+H224+H225+H227+H228+H229</f>
        <v>101.13000000000001</v>
      </c>
      <c r="I231" s="115">
        <f>I222+I224+I225+I227+I228+I229</f>
        <v>738</v>
      </c>
      <c r="J231" s="115">
        <f t="shared" ref="J231:S231" si="73">J222+J224+J225+J227+J228+J229</f>
        <v>1.25</v>
      </c>
      <c r="K231" s="115">
        <f t="shared" si="73"/>
        <v>45.55</v>
      </c>
      <c r="L231" s="115">
        <f t="shared" si="73"/>
        <v>21.4</v>
      </c>
      <c r="M231" s="115">
        <f t="shared" si="73"/>
        <v>63</v>
      </c>
      <c r="N231" s="115">
        <f t="shared" si="73"/>
        <v>3.8</v>
      </c>
      <c r="O231" s="115"/>
      <c r="P231" s="115">
        <f t="shared" si="73"/>
        <v>261.48</v>
      </c>
      <c r="Q231" s="115">
        <f t="shared" si="73"/>
        <v>516.53</v>
      </c>
      <c r="R231" s="115">
        <f t="shared" si="73"/>
        <v>159.28</v>
      </c>
      <c r="S231" s="115">
        <f t="shared" si="73"/>
        <v>8.68</v>
      </c>
    </row>
    <row r="232" spans="1:19" ht="15.75">
      <c r="C232" s="183" t="s">
        <v>46</v>
      </c>
      <c r="D232" s="21"/>
      <c r="E232" s="26"/>
      <c r="F232" s="116">
        <f t="shared" ref="F232:I233" si="74">F219+F230</f>
        <v>43.52</v>
      </c>
      <c r="G232" s="116">
        <v>41.65</v>
      </c>
      <c r="H232" s="116">
        <f t="shared" si="74"/>
        <v>179.29000000000002</v>
      </c>
      <c r="I232" s="116">
        <f t="shared" si="74"/>
        <v>1267.6599999999999</v>
      </c>
      <c r="J232" s="116">
        <f t="shared" ref="J232:R232" si="75">J219+J230</f>
        <v>1.38</v>
      </c>
      <c r="K232" s="116">
        <f t="shared" si="75"/>
        <v>43.489999999999995</v>
      </c>
      <c r="L232" s="116">
        <f t="shared" si="75"/>
        <v>17.619999999999997</v>
      </c>
      <c r="M232" s="116">
        <f t="shared" si="75"/>
        <v>122.08</v>
      </c>
      <c r="N232" s="116">
        <f t="shared" si="75"/>
        <v>3.3</v>
      </c>
      <c r="O232" s="116"/>
      <c r="P232" s="116">
        <f t="shared" si="75"/>
        <v>568.68000000000006</v>
      </c>
      <c r="Q232" s="116">
        <f t="shared" si="75"/>
        <v>839.1400000000001</v>
      </c>
      <c r="R232" s="116">
        <f t="shared" si="75"/>
        <v>198.3</v>
      </c>
      <c r="S232" s="116">
        <f>S219+S230</f>
        <v>9.9699999999999989</v>
      </c>
    </row>
    <row r="233" spans="1:19" ht="15.75">
      <c r="C233" s="183"/>
      <c r="D233" s="21"/>
      <c r="E233" s="26"/>
      <c r="F233" s="116">
        <f t="shared" si="74"/>
        <v>44.99</v>
      </c>
      <c r="G233" s="116">
        <f t="shared" si="74"/>
        <v>42.790000000000006</v>
      </c>
      <c r="H233" s="116">
        <f t="shared" si="74"/>
        <v>186.22000000000003</v>
      </c>
      <c r="I233" s="116">
        <f t="shared" si="74"/>
        <v>1315.6599999999999</v>
      </c>
      <c r="J233" s="116">
        <f t="shared" ref="J233:S233" si="76">J220+J231</f>
        <v>1.41</v>
      </c>
      <c r="K233" s="116">
        <f t="shared" si="76"/>
        <v>47.19</v>
      </c>
      <c r="L233" s="116">
        <f t="shared" si="76"/>
        <v>21.619999999999997</v>
      </c>
      <c r="M233" s="116">
        <f t="shared" si="76"/>
        <v>122.08</v>
      </c>
      <c r="N233" s="116">
        <f t="shared" si="76"/>
        <v>3.8</v>
      </c>
      <c r="O233" s="116"/>
      <c r="P233" s="116">
        <f t="shared" si="76"/>
        <v>578.78</v>
      </c>
      <c r="Q233" s="116">
        <f t="shared" si="76"/>
        <v>865.93000000000006</v>
      </c>
      <c r="R233" s="116">
        <f t="shared" si="76"/>
        <v>207.33</v>
      </c>
      <c r="S233" s="116">
        <f t="shared" si="76"/>
        <v>10.37</v>
      </c>
    </row>
    <row r="234" spans="1:19" ht="23.25" customHeight="1">
      <c r="E234" s="111" t="s">
        <v>112</v>
      </c>
      <c r="H234" s="111" t="s">
        <v>113</v>
      </c>
    </row>
    <row r="235" spans="1:19" ht="15.75" thickBot="1"/>
    <row r="236" spans="1:19" ht="16.5" thickBot="1">
      <c r="C236" s="190" t="s">
        <v>79</v>
      </c>
      <c r="D236" s="73" t="s">
        <v>47</v>
      </c>
      <c r="E236" s="95">
        <v>60</v>
      </c>
      <c r="F236" s="95">
        <v>2</v>
      </c>
      <c r="G236" s="95">
        <v>6.12</v>
      </c>
      <c r="H236" s="95">
        <v>9.58</v>
      </c>
      <c r="I236" s="95">
        <v>102</v>
      </c>
      <c r="J236" s="40">
        <v>0.03</v>
      </c>
      <c r="K236" s="40">
        <f>0.04*150/100</f>
        <v>0.06</v>
      </c>
      <c r="L236" s="40">
        <v>1.35</v>
      </c>
      <c r="M236" s="40">
        <v>41</v>
      </c>
      <c r="N236" s="40"/>
      <c r="O236" s="97"/>
      <c r="P236" s="40">
        <v>55.8</v>
      </c>
      <c r="Q236" s="40">
        <v>40.04</v>
      </c>
      <c r="R236" s="38">
        <v>19.7</v>
      </c>
      <c r="S236" s="38">
        <v>0.75</v>
      </c>
    </row>
    <row r="237" spans="1:19" ht="16.5" thickBot="1">
      <c r="C237" s="191"/>
      <c r="D237" s="74" t="s">
        <v>76</v>
      </c>
      <c r="E237" s="95">
        <v>60</v>
      </c>
      <c r="F237" s="95">
        <v>2</v>
      </c>
      <c r="G237" s="95">
        <v>6.12</v>
      </c>
      <c r="H237" s="95">
        <v>9.58</v>
      </c>
      <c r="I237" s="95">
        <v>102</v>
      </c>
      <c r="J237" s="40">
        <v>0.03</v>
      </c>
      <c r="K237" s="40">
        <f>0.04*150/100</f>
        <v>0.06</v>
      </c>
      <c r="L237" s="40">
        <v>1.35</v>
      </c>
      <c r="M237" s="40">
        <v>41</v>
      </c>
      <c r="N237" s="40"/>
      <c r="O237" s="97"/>
      <c r="P237" s="40">
        <v>55.8</v>
      </c>
      <c r="Q237" s="40">
        <v>40.04</v>
      </c>
      <c r="R237" s="38">
        <v>19.7</v>
      </c>
      <c r="S237" s="38">
        <v>0.75</v>
      </c>
    </row>
    <row r="238" spans="1:19" ht="16.5" thickBot="1">
      <c r="C238" s="95" t="s">
        <v>17</v>
      </c>
      <c r="D238" s="3"/>
      <c r="E238" s="6">
        <v>100</v>
      </c>
      <c r="F238" s="6">
        <v>9.6999999999999993</v>
      </c>
      <c r="G238" s="6">
        <v>0.4</v>
      </c>
      <c r="H238" s="6">
        <v>0</v>
      </c>
      <c r="I238" s="6">
        <v>44</v>
      </c>
    </row>
  </sheetData>
  <mergeCells count="105">
    <mergeCell ref="B71:B79"/>
    <mergeCell ref="B64:B67"/>
    <mergeCell ref="B49:B58"/>
    <mergeCell ref="B42:B46"/>
    <mergeCell ref="B26:B36"/>
    <mergeCell ref="B19:B23"/>
    <mergeCell ref="B171:B178"/>
    <mergeCell ref="B61:B62"/>
    <mergeCell ref="B221:B229"/>
    <mergeCell ref="B157:B165"/>
    <mergeCell ref="B150:B154"/>
    <mergeCell ref="B84:I84"/>
    <mergeCell ref="C86:C87"/>
    <mergeCell ref="B135:B144"/>
    <mergeCell ref="B128:B131"/>
    <mergeCell ref="B115:B122"/>
    <mergeCell ref="B107:B111"/>
    <mergeCell ref="C211:C212"/>
    <mergeCell ref="B92:B101"/>
    <mergeCell ref="B85:B89"/>
    <mergeCell ref="C236:C237"/>
    <mergeCell ref="C104:C105"/>
    <mergeCell ref="C94:C95"/>
    <mergeCell ref="C82:C83"/>
    <mergeCell ref="B63:I63"/>
    <mergeCell ref="C65:C66"/>
    <mergeCell ref="C71:C72"/>
    <mergeCell ref="C73:C74"/>
    <mergeCell ref="C92:C93"/>
    <mergeCell ref="C157:C158"/>
    <mergeCell ref="C159:C160"/>
    <mergeCell ref="B106:I106"/>
    <mergeCell ref="C108:C109"/>
    <mergeCell ref="C116:C117"/>
    <mergeCell ref="C137:C138"/>
    <mergeCell ref="C125:C126"/>
    <mergeCell ref="C140:C141"/>
    <mergeCell ref="B149:I149"/>
    <mergeCell ref="C147:C148"/>
    <mergeCell ref="C151:C152"/>
    <mergeCell ref="C119:C120"/>
    <mergeCell ref="B127:I127"/>
    <mergeCell ref="C129:C130"/>
    <mergeCell ref="C76:C77"/>
    <mergeCell ref="A15:A17"/>
    <mergeCell ref="C52:C53"/>
    <mergeCell ref="B39:C40"/>
    <mergeCell ref="C19:C20"/>
    <mergeCell ref="C26:C27"/>
    <mergeCell ref="C28:C29"/>
    <mergeCell ref="C30:C31"/>
    <mergeCell ref="C32:C33"/>
    <mergeCell ref="B41:I41"/>
    <mergeCell ref="C43:C44"/>
    <mergeCell ref="C49:C50"/>
    <mergeCell ref="B18:S18"/>
    <mergeCell ref="J16:J17"/>
    <mergeCell ref="K16:K17"/>
    <mergeCell ref="L16:L17"/>
    <mergeCell ref="B10:S10"/>
    <mergeCell ref="B11:S11"/>
    <mergeCell ref="B12:S12"/>
    <mergeCell ref="B24:D24"/>
    <mergeCell ref="B25:D25"/>
    <mergeCell ref="F15:F17"/>
    <mergeCell ref="G15:G17"/>
    <mergeCell ref="H15:H17"/>
    <mergeCell ref="I15:I17"/>
    <mergeCell ref="J15:N15"/>
    <mergeCell ref="P15:S15"/>
    <mergeCell ref="S16:S17"/>
    <mergeCell ref="B15:B17"/>
    <mergeCell ref="C15:C17"/>
    <mergeCell ref="D15:D17"/>
    <mergeCell ref="E15:E17"/>
    <mergeCell ref="M16:M17"/>
    <mergeCell ref="N16:N17"/>
    <mergeCell ref="O16:O17"/>
    <mergeCell ref="P16:P17"/>
    <mergeCell ref="Q16:Q17"/>
    <mergeCell ref="R16:R17"/>
    <mergeCell ref="C232:C233"/>
    <mergeCell ref="C13:S13"/>
    <mergeCell ref="B213:I213"/>
    <mergeCell ref="C215:C216"/>
    <mergeCell ref="C221:C222"/>
    <mergeCell ref="C223:C224"/>
    <mergeCell ref="C226:C227"/>
    <mergeCell ref="B192:I192"/>
    <mergeCell ref="C193:C194"/>
    <mergeCell ref="C200:C201"/>
    <mergeCell ref="C202:C203"/>
    <mergeCell ref="C205:C206"/>
    <mergeCell ref="C183:C184"/>
    <mergeCell ref="C168:C169"/>
    <mergeCell ref="C190:C191"/>
    <mergeCell ref="C97:C98"/>
    <mergeCell ref="C180:C182"/>
    <mergeCell ref="B170:I170"/>
    <mergeCell ref="C173:C174"/>
    <mergeCell ref="C162:C163"/>
    <mergeCell ref="B179:B187"/>
    <mergeCell ref="B193:B197"/>
    <mergeCell ref="B200:B208"/>
    <mergeCell ref="B214:B220"/>
  </mergeCells>
  <pageMargins left="0" right="0.11811023622047245" top="0" bottom="0" header="0.11811023622047245" footer="0"/>
  <pageSetup paperSize="9" scale="82" orientation="landscape" r:id="rId1"/>
  <rowBreaks count="7" manualBreakCount="7">
    <brk id="40" max="21" man="1"/>
    <brk id="70" max="21" man="1"/>
    <brk id="99" max="21" man="1"/>
    <brk id="134" max="21" man="1"/>
    <brk id="169" max="21" man="1"/>
    <brk id="197" max="21" man="1"/>
    <brk id="234" max="21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1234</cp:lastModifiedBy>
  <cp:lastPrinted>2007-06-06T22:02:20Z</cp:lastPrinted>
  <dcterms:created xsi:type="dcterms:W3CDTF">2017-06-22T19:30:20Z</dcterms:created>
  <dcterms:modified xsi:type="dcterms:W3CDTF">2025-01-12T14:31:14Z</dcterms:modified>
</cp:coreProperties>
</file>